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ot\Desktop\亮\伝木\限界耐力計算書一式\くまもと型ソフト\"/>
    </mc:Choice>
  </mc:AlternateContent>
  <xr:revisionPtr revIDLastSave="0" documentId="13_ncr:1_{3555D7B8-1B9D-4AB5-8697-D0D5395BC9CC}" xr6:coauthVersionLast="47" xr6:coauthVersionMax="47" xr10:uidLastSave="{00000000-0000-0000-0000-000000000000}"/>
  <bookViews>
    <workbookView xWindow="1530" yWindow="540" windowWidth="21825" windowHeight="15060" tabRatio="909" xr2:uid="{00000000-000D-0000-FFFF-FFFF00000000}"/>
  </bookViews>
  <sheets>
    <sheet name="提出書類" sheetId="69" r:id="rId1"/>
    <sheet name="注意事項" sheetId="70" r:id="rId2"/>
    <sheet name="表 " sheetId="60" r:id="rId3"/>
    <sheet name="目次 " sheetId="59" r:id="rId4"/>
    <sheet name="1.1~1.4書類 " sheetId="58" r:id="rId5"/>
    <sheet name="1.5固定荷重表" sheetId="61" r:id="rId6"/>
    <sheet name="1.6書類  " sheetId="65" r:id="rId7"/>
    <sheet name="2.1荷重表示" sheetId="57" r:id="rId8"/>
    <sheet name="2.2部材の検討" sheetId="63" r:id="rId9"/>
    <sheet name="2.5補足検討" sheetId="64" r:id="rId10"/>
    <sheet name="耐力要素のパラメータ" sheetId="68" r:id="rId11"/>
    <sheet name="データ" sheetId="66" state="hidden" r:id="rId12"/>
  </sheets>
  <definedNames>
    <definedName name="_xlnm._FilterDatabase" localSheetId="5" hidden="1">'1.5固定荷重表'!$A$3:$AD$45</definedName>
    <definedName name="_xlnm.Print_Area" localSheetId="4">'1.1~1.4書類 '!$A$1:$S$140</definedName>
    <definedName name="_xlnm.Print_Area" localSheetId="5">'1.5固定荷重表'!$A$1:$AD$83</definedName>
    <definedName name="_xlnm.Print_Area" localSheetId="6">'1.6書類  '!$A$1:$S$138</definedName>
    <definedName name="_xlnm.Print_Area" localSheetId="7">'2.1荷重表示'!$A$2:$P$41</definedName>
    <definedName name="_xlnm.Print_Area" localSheetId="8">'2.2部材の検討'!$B$1:$W$228,'2.2部材の検討'!$A$232:$W$255</definedName>
    <definedName name="_xlnm.Print_Area" localSheetId="9">'2.5補足検討'!#REF!</definedName>
    <definedName name="_xlnm.Print_Area" localSheetId="2">'表 '!$A$1:$I$53</definedName>
    <definedName name="_xlnm.Print_Area" localSheetId="3">'目次 '!$A$1:$G$32</definedName>
  </definedNames>
  <calcPr calcId="181029"/>
</workbook>
</file>

<file path=xl/calcChain.xml><?xml version="1.0" encoding="utf-8"?>
<calcChain xmlns="http://schemas.openxmlformats.org/spreadsheetml/2006/main">
  <c r="O256" i="63" l="1"/>
  <c r="O244" i="63"/>
  <c r="N254" i="63"/>
  <c r="N252" i="63"/>
  <c r="N250" i="63"/>
  <c r="O252" i="63"/>
  <c r="P252" i="63"/>
  <c r="O254" i="63"/>
  <c r="P254" i="63"/>
  <c r="N256" i="63"/>
  <c r="P256" i="63"/>
  <c r="N258" i="63"/>
  <c r="O258" i="63"/>
  <c r="P258" i="63"/>
  <c r="P238" i="63"/>
  <c r="P240" i="63"/>
  <c r="P242" i="63"/>
  <c r="P244" i="63"/>
  <c r="P246" i="63"/>
  <c r="P248" i="63"/>
  <c r="P250" i="63"/>
  <c r="O240" i="63"/>
  <c r="O242" i="63"/>
  <c r="O246" i="63"/>
  <c r="O248" i="63"/>
  <c r="O250" i="63"/>
  <c r="O238" i="63"/>
  <c r="C148" i="63"/>
  <c r="I205" i="63"/>
  <c r="I207" i="63"/>
  <c r="I209" i="63"/>
  <c r="I211" i="63"/>
  <c r="I213" i="63"/>
  <c r="I215" i="63"/>
  <c r="I217" i="63"/>
  <c r="I219" i="63"/>
  <c r="I221" i="63"/>
  <c r="I223" i="63"/>
  <c r="I225" i="63"/>
  <c r="I227" i="63"/>
  <c r="I195" i="63"/>
  <c r="G195" i="63"/>
  <c r="H195" i="63" s="1"/>
  <c r="I182" i="63"/>
  <c r="I184" i="63"/>
  <c r="I186" i="63"/>
  <c r="R195" i="63"/>
  <c r="J153" i="63"/>
  <c r="J220" i="63" l="1"/>
  <c r="C220" i="63"/>
  <c r="C228" i="63"/>
  <c r="C226" i="63"/>
  <c r="C224" i="63"/>
  <c r="C222" i="63"/>
  <c r="C218" i="63"/>
  <c r="C216" i="63"/>
  <c r="C214" i="63"/>
  <c r="C212" i="63"/>
  <c r="C210" i="63"/>
  <c r="C208" i="63"/>
  <c r="C206" i="63"/>
  <c r="C204" i="63"/>
  <c r="C202" i="63"/>
  <c r="C200" i="63"/>
  <c r="C198" i="63"/>
  <c r="C196" i="63"/>
  <c r="J228" i="63"/>
  <c r="J226" i="63"/>
  <c r="J224" i="63"/>
  <c r="J222" i="63"/>
  <c r="J218" i="63"/>
  <c r="J216" i="63"/>
  <c r="J214" i="63"/>
  <c r="J212" i="63"/>
  <c r="J210" i="63"/>
  <c r="J208" i="63"/>
  <c r="J206" i="63"/>
  <c r="J204" i="63"/>
  <c r="J202" i="63"/>
  <c r="J200" i="63"/>
  <c r="J198" i="63"/>
  <c r="J196" i="63"/>
  <c r="J189" i="63"/>
  <c r="J187" i="63"/>
  <c r="J185" i="63"/>
  <c r="J183" i="63"/>
  <c r="J181" i="63"/>
  <c r="J179" i="63"/>
  <c r="J177" i="63"/>
  <c r="J175" i="63"/>
  <c r="J173" i="63"/>
  <c r="J171" i="63"/>
  <c r="J169" i="63"/>
  <c r="J167" i="63"/>
  <c r="J165" i="63"/>
  <c r="J163" i="63"/>
  <c r="J161" i="63"/>
  <c r="J159" i="63"/>
  <c r="J157" i="63"/>
  <c r="J155" i="63"/>
  <c r="C155" i="63"/>
  <c r="C189" i="63"/>
  <c r="C187" i="63"/>
  <c r="C185" i="63"/>
  <c r="C183" i="63"/>
  <c r="C181" i="63"/>
  <c r="C179" i="63"/>
  <c r="C177" i="63"/>
  <c r="C175" i="63"/>
  <c r="C173" i="63"/>
  <c r="C171" i="63"/>
  <c r="C169" i="63"/>
  <c r="C167" i="63"/>
  <c r="C165" i="63"/>
  <c r="C163" i="63"/>
  <c r="C161" i="63"/>
  <c r="C159" i="63"/>
  <c r="C157" i="63"/>
  <c r="C153" i="63"/>
  <c r="O150" i="63"/>
  <c r="O193" i="63"/>
  <c r="N236" i="63"/>
  <c r="I228" i="63" l="1"/>
  <c r="I226" i="63"/>
  <c r="I214" i="63"/>
  <c r="I208" i="63"/>
  <c r="I222" i="63"/>
  <c r="I218" i="63"/>
  <c r="I212" i="63"/>
  <c r="I206" i="63"/>
  <c r="I224" i="63"/>
  <c r="I220" i="63"/>
  <c r="I216" i="63"/>
  <c r="I210" i="63"/>
  <c r="I189" i="63"/>
  <c r="I187" i="63"/>
  <c r="I185" i="63"/>
  <c r="N248" i="63"/>
  <c r="N238" i="63"/>
  <c r="N246" i="63"/>
  <c r="N244" i="63"/>
  <c r="N242" i="63"/>
  <c r="N240" i="63"/>
  <c r="H205" i="63"/>
  <c r="H206" i="63"/>
  <c r="O206" i="63" s="1"/>
  <c r="H207" i="63"/>
  <c r="H208" i="63"/>
  <c r="O208" i="63" s="1"/>
  <c r="H209" i="63"/>
  <c r="H210" i="63"/>
  <c r="O210" i="63" s="1"/>
  <c r="H211" i="63"/>
  <c r="H212" i="63"/>
  <c r="O212" i="63" s="1"/>
  <c r="H213" i="63"/>
  <c r="H214" i="63"/>
  <c r="O214" i="63" s="1"/>
  <c r="H215" i="63"/>
  <c r="H216" i="63"/>
  <c r="O216" i="63" s="1"/>
  <c r="H217" i="63"/>
  <c r="H218" i="63"/>
  <c r="O218" i="63" s="1"/>
  <c r="H219" i="63"/>
  <c r="H220" i="63"/>
  <c r="O220" i="63" s="1"/>
  <c r="H221" i="63"/>
  <c r="H222" i="63"/>
  <c r="O222" i="63" s="1"/>
  <c r="H223" i="63"/>
  <c r="H224" i="63"/>
  <c r="O224" i="63" s="1"/>
  <c r="H225" i="63"/>
  <c r="H226" i="63"/>
  <c r="O226" i="63" s="1"/>
  <c r="H227" i="63"/>
  <c r="H228" i="63"/>
  <c r="O228" i="63" s="1"/>
  <c r="H182" i="63"/>
  <c r="H184" i="63"/>
  <c r="H185" i="63"/>
  <c r="O185" i="63" s="1"/>
  <c r="H186" i="63"/>
  <c r="H187" i="63"/>
  <c r="O187" i="63" s="1"/>
  <c r="H189" i="63"/>
  <c r="O189" i="63" s="1"/>
  <c r="S103" i="63"/>
  <c r="S104" i="63"/>
  <c r="S105" i="63"/>
  <c r="S106" i="63"/>
  <c r="S107" i="63"/>
  <c r="S108" i="63"/>
  <c r="S109" i="63"/>
  <c r="S110" i="63"/>
  <c r="S111" i="63"/>
  <c r="S112" i="63"/>
  <c r="S113" i="63"/>
  <c r="S114" i="63"/>
  <c r="S115" i="63"/>
  <c r="S116" i="63"/>
  <c r="S117" i="63"/>
  <c r="S118" i="63"/>
  <c r="S119" i="63"/>
  <c r="S120" i="63"/>
  <c r="S121" i="63"/>
  <c r="S122" i="63"/>
  <c r="S123" i="63"/>
  <c r="S124" i="63"/>
  <c r="S125" i="63"/>
  <c r="S126" i="63"/>
  <c r="S127" i="63"/>
  <c r="S128" i="63"/>
  <c r="S129" i="63"/>
  <c r="S130" i="63"/>
  <c r="S131" i="63"/>
  <c r="S132" i="63"/>
  <c r="S133" i="63"/>
  <c r="S134" i="63"/>
  <c r="S135" i="63"/>
  <c r="S136" i="63"/>
  <c r="S137" i="63"/>
  <c r="S138" i="63"/>
  <c r="S139" i="63"/>
  <c r="S140" i="63"/>
  <c r="S141" i="63"/>
  <c r="S142" i="63"/>
  <c r="S143" i="63"/>
  <c r="S102" i="63"/>
  <c r="S101" i="63"/>
  <c r="S100" i="63"/>
  <c r="S99" i="63"/>
  <c r="S98" i="63"/>
  <c r="O65" i="63"/>
  <c r="O64" i="63"/>
  <c r="O63" i="63"/>
  <c r="O62" i="63"/>
  <c r="O61" i="63"/>
  <c r="O60" i="63"/>
  <c r="M48" i="63"/>
  <c r="M53" i="63"/>
  <c r="M52" i="63"/>
  <c r="M51" i="63"/>
  <c r="M50" i="63"/>
  <c r="M49" i="63"/>
  <c r="L38" i="63"/>
  <c r="L39" i="63"/>
  <c r="L37" i="63"/>
  <c r="N27" i="63"/>
  <c r="N19" i="63"/>
  <c r="N28" i="63"/>
  <c r="N29" i="63"/>
  <c r="N30" i="63"/>
  <c r="N20" i="63"/>
  <c r="N18" i="63"/>
  <c r="M11" i="63"/>
  <c r="M9" i="63"/>
  <c r="M10" i="63"/>
  <c r="U20" i="61"/>
  <c r="U24" i="61"/>
  <c r="Y236" i="63"/>
  <c r="Y235" i="63"/>
  <c r="U149" i="63"/>
  <c r="U192" i="63"/>
  <c r="Y234" i="63"/>
  <c r="U195" i="63"/>
  <c r="U196" i="63"/>
  <c r="U197" i="63"/>
  <c r="U198" i="63"/>
  <c r="U199" i="63"/>
  <c r="U200" i="63"/>
  <c r="U201" i="63"/>
  <c r="U202" i="63"/>
  <c r="U203" i="63"/>
  <c r="U204" i="63"/>
  <c r="U205" i="63"/>
  <c r="U206" i="63"/>
  <c r="U207" i="63"/>
  <c r="U208" i="63"/>
  <c r="U209" i="63"/>
  <c r="U210" i="63"/>
  <c r="U211" i="63"/>
  <c r="U212" i="63"/>
  <c r="U213" i="63"/>
  <c r="U214" i="63"/>
  <c r="U215" i="63"/>
  <c r="U216" i="63"/>
  <c r="U217" i="63"/>
  <c r="U218" i="63"/>
  <c r="U219" i="63"/>
  <c r="U220" i="63"/>
  <c r="U221" i="63"/>
  <c r="U222" i="63"/>
  <c r="U223" i="63"/>
  <c r="U224" i="63"/>
  <c r="U225" i="63"/>
  <c r="U226" i="63"/>
  <c r="U227" i="63"/>
  <c r="U228" i="63"/>
  <c r="U153" i="63"/>
  <c r="U154" i="63"/>
  <c r="U155" i="63"/>
  <c r="U156" i="63"/>
  <c r="U157" i="63"/>
  <c r="U158" i="63"/>
  <c r="U159" i="63"/>
  <c r="U160" i="63"/>
  <c r="U161" i="63"/>
  <c r="U162" i="63"/>
  <c r="U163" i="63"/>
  <c r="U164" i="63"/>
  <c r="U165" i="63"/>
  <c r="U166" i="63"/>
  <c r="U167" i="63"/>
  <c r="U168" i="63"/>
  <c r="U169" i="63"/>
  <c r="U170" i="63"/>
  <c r="U171" i="63"/>
  <c r="U172" i="63"/>
  <c r="U173" i="63"/>
  <c r="U174" i="63"/>
  <c r="U175" i="63"/>
  <c r="U176" i="63"/>
  <c r="U177" i="63"/>
  <c r="U178" i="63"/>
  <c r="U179" i="63"/>
  <c r="U180" i="63"/>
  <c r="U181" i="63"/>
  <c r="U182" i="63"/>
  <c r="U183" i="63"/>
  <c r="U184" i="63"/>
  <c r="U185" i="63"/>
  <c r="U186" i="63"/>
  <c r="U187" i="63"/>
  <c r="U188" i="63"/>
  <c r="U189" i="63"/>
  <c r="U152" i="63"/>
  <c r="S214" i="63" l="1"/>
  <c r="S226" i="63"/>
  <c r="S185" i="63"/>
  <c r="S218" i="63"/>
  <c r="S228" i="63"/>
  <c r="S224" i="63"/>
  <c r="O227" i="63"/>
  <c r="S227" i="63"/>
  <c r="O225" i="63"/>
  <c r="S225" i="63"/>
  <c r="O213" i="63"/>
  <c r="S213" i="63"/>
  <c r="O207" i="63"/>
  <c r="S207" i="63"/>
  <c r="S208" i="63"/>
  <c r="O221" i="63"/>
  <c r="S221" i="63"/>
  <c r="S222" i="63"/>
  <c r="O217" i="63"/>
  <c r="S217" i="63"/>
  <c r="O211" i="63"/>
  <c r="S211" i="63"/>
  <c r="S212" i="63"/>
  <c r="O205" i="63"/>
  <c r="S205" i="63"/>
  <c r="S206" i="63"/>
  <c r="O223" i="63"/>
  <c r="S223" i="63"/>
  <c r="S220" i="63"/>
  <c r="O219" i="63"/>
  <c r="S219" i="63"/>
  <c r="O215" i="63"/>
  <c r="S215" i="63"/>
  <c r="S216" i="63"/>
  <c r="O209" i="63"/>
  <c r="S209" i="63"/>
  <c r="S210" i="63"/>
  <c r="S189" i="63"/>
  <c r="O186" i="63"/>
  <c r="S186" i="63"/>
  <c r="S187" i="63"/>
  <c r="O184" i="63"/>
  <c r="S184" i="63"/>
  <c r="O182" i="63"/>
  <c r="S182" i="63"/>
  <c r="W192" i="63"/>
  <c r="W149" i="63"/>
  <c r="W225" i="63" l="1"/>
  <c r="W213" i="63"/>
  <c r="W184" i="63"/>
  <c r="W223" i="63"/>
  <c r="W211" i="63"/>
  <c r="W227" i="63"/>
  <c r="W207" i="63"/>
  <c r="W215" i="63"/>
  <c r="W205" i="63"/>
  <c r="W217" i="63"/>
  <c r="W186" i="63"/>
  <c r="W219" i="63"/>
  <c r="W221" i="63"/>
  <c r="W209" i="63"/>
  <c r="Y35" i="61"/>
  <c r="Y33" i="61"/>
  <c r="Y34" i="61"/>
  <c r="Y36" i="61"/>
  <c r="Y37" i="61"/>
  <c r="Y32" i="61"/>
  <c r="G34" i="61"/>
  <c r="G33" i="61"/>
  <c r="G35" i="61"/>
  <c r="G36" i="61"/>
  <c r="G37" i="61"/>
  <c r="G32" i="61"/>
  <c r="J16" i="57" l="1"/>
  <c r="J8" i="57"/>
  <c r="J7" i="57"/>
  <c r="Q28" i="65"/>
  <c r="V24" i="57" l="1"/>
  <c r="V22" i="57"/>
  <c r="V21" i="57"/>
  <c r="V20" i="57"/>
  <c r="AB10" i="61"/>
  <c r="N16" i="57" l="1"/>
  <c r="U38" i="57" s="1"/>
  <c r="U29" i="57" l="1"/>
  <c r="Q25" i="65"/>
  <c r="Q24" i="65"/>
  <c r="Q30" i="65"/>
  <c r="Q32" i="65"/>
  <c r="Q31" i="65"/>
  <c r="Y19" i="61" l="1"/>
  <c r="Y15" i="61"/>
  <c r="X15" i="61"/>
  <c r="X19" i="61"/>
  <c r="P209" i="63" l="1"/>
  <c r="P210" i="63"/>
  <c r="P211" i="63"/>
  <c r="P212" i="63"/>
  <c r="P213" i="63"/>
  <c r="P214" i="63"/>
  <c r="P215" i="63"/>
  <c r="P216" i="63"/>
  <c r="P217" i="63"/>
  <c r="P218" i="63"/>
  <c r="P219" i="63"/>
  <c r="P220" i="63"/>
  <c r="P221" i="63"/>
  <c r="P222" i="63"/>
  <c r="P223" i="63"/>
  <c r="P224" i="63"/>
  <c r="P225" i="63"/>
  <c r="P226" i="63"/>
  <c r="P227" i="63"/>
  <c r="P228" i="63"/>
  <c r="P182" i="63"/>
  <c r="P184" i="63"/>
  <c r="P185" i="63"/>
  <c r="P186" i="63"/>
  <c r="P187" i="63"/>
  <c r="P189" i="63"/>
  <c r="R212" i="63" l="1"/>
  <c r="R213" i="63"/>
  <c r="R214" i="63"/>
  <c r="R215" i="63"/>
  <c r="R216" i="63"/>
  <c r="R217" i="63"/>
  <c r="R218" i="63"/>
  <c r="R219" i="63"/>
  <c r="R220" i="63"/>
  <c r="R221" i="63"/>
  <c r="R222" i="63"/>
  <c r="R223" i="63"/>
  <c r="R224" i="63"/>
  <c r="R225" i="63"/>
  <c r="R226" i="63"/>
  <c r="R227" i="63"/>
  <c r="R228" i="63"/>
  <c r="R197" i="63"/>
  <c r="R199" i="63"/>
  <c r="R201" i="63"/>
  <c r="R202" i="63"/>
  <c r="R203" i="63"/>
  <c r="R204" i="63"/>
  <c r="R205" i="63"/>
  <c r="R206" i="63"/>
  <c r="R207" i="63"/>
  <c r="R208" i="63"/>
  <c r="R209" i="63"/>
  <c r="R210" i="63"/>
  <c r="R211" i="63"/>
  <c r="R172" i="63"/>
  <c r="R174" i="63"/>
  <c r="R176" i="63"/>
  <c r="R178" i="63"/>
  <c r="R180" i="63"/>
  <c r="R182" i="63"/>
  <c r="R183" i="63"/>
  <c r="R184" i="63"/>
  <c r="R185" i="63"/>
  <c r="R186" i="63"/>
  <c r="R187" i="63"/>
  <c r="R188" i="63"/>
  <c r="R189" i="63"/>
  <c r="R154" i="63"/>
  <c r="R156" i="63"/>
  <c r="R158" i="63"/>
  <c r="R160" i="63"/>
  <c r="R162" i="63"/>
  <c r="R164" i="63"/>
  <c r="R166" i="63"/>
  <c r="R168" i="63"/>
  <c r="R170" i="63"/>
  <c r="R152" i="63"/>
  <c r="M132" i="58" l="1"/>
  <c r="M133" i="58"/>
  <c r="M134" i="58"/>
  <c r="M135" i="58"/>
  <c r="M136" i="58"/>
  <c r="M137" i="58"/>
  <c r="M138" i="58"/>
  <c r="M139" i="58"/>
  <c r="J132" i="58"/>
  <c r="J133" i="58"/>
  <c r="J134" i="58"/>
  <c r="J135" i="58"/>
  <c r="J136" i="58"/>
  <c r="J137" i="58"/>
  <c r="J138" i="58"/>
  <c r="J139" i="58"/>
  <c r="F132" i="58"/>
  <c r="F133" i="58"/>
  <c r="F134" i="58"/>
  <c r="F135" i="58"/>
  <c r="F136" i="58"/>
  <c r="F137" i="58"/>
  <c r="F138" i="58"/>
  <c r="F139" i="58"/>
  <c r="F131" i="58"/>
  <c r="U37" i="63" l="1"/>
  <c r="M131" i="58" l="1"/>
  <c r="J131" i="58"/>
  <c r="U9" i="63" l="1"/>
  <c r="T217" i="63" l="1"/>
  <c r="T218" i="63"/>
  <c r="T219" i="63"/>
  <c r="T220" i="63"/>
  <c r="T221" i="63"/>
  <c r="T222" i="63"/>
  <c r="T223" i="63"/>
  <c r="T224" i="63"/>
  <c r="T225" i="63"/>
  <c r="T226" i="63"/>
  <c r="T227" i="63"/>
  <c r="T228" i="63"/>
  <c r="T196" i="63"/>
  <c r="T197" i="63"/>
  <c r="T198" i="63"/>
  <c r="T199" i="63"/>
  <c r="T200" i="63"/>
  <c r="T201" i="63"/>
  <c r="T202" i="63"/>
  <c r="T203" i="63"/>
  <c r="T204" i="63"/>
  <c r="T205" i="63"/>
  <c r="T206" i="63"/>
  <c r="T207" i="63"/>
  <c r="T208" i="63"/>
  <c r="T209" i="63"/>
  <c r="T210" i="63"/>
  <c r="T211" i="63"/>
  <c r="T212" i="63"/>
  <c r="T213" i="63"/>
  <c r="T214" i="63"/>
  <c r="T215" i="63"/>
  <c r="T216" i="63"/>
  <c r="T195" i="63"/>
  <c r="T153" i="63"/>
  <c r="T154" i="63"/>
  <c r="T155" i="63"/>
  <c r="T156" i="63"/>
  <c r="T157" i="63"/>
  <c r="T158" i="63"/>
  <c r="T159" i="63"/>
  <c r="T160" i="63"/>
  <c r="T161" i="63"/>
  <c r="T162" i="63"/>
  <c r="T163" i="63"/>
  <c r="T164" i="63"/>
  <c r="T165" i="63"/>
  <c r="T166" i="63"/>
  <c r="T167" i="63"/>
  <c r="T168" i="63"/>
  <c r="T169" i="63"/>
  <c r="T170" i="63"/>
  <c r="T171" i="63"/>
  <c r="T172" i="63"/>
  <c r="T173" i="63"/>
  <c r="T174" i="63"/>
  <c r="T175" i="63"/>
  <c r="T176" i="63"/>
  <c r="T177" i="63"/>
  <c r="T178" i="63"/>
  <c r="T179" i="63"/>
  <c r="T180" i="63"/>
  <c r="T181" i="63"/>
  <c r="T182" i="63"/>
  <c r="T183" i="63"/>
  <c r="T184" i="63"/>
  <c r="T185" i="63"/>
  <c r="T186" i="63"/>
  <c r="T187" i="63"/>
  <c r="T188" i="63"/>
  <c r="T189" i="63"/>
  <c r="T152" i="63"/>
  <c r="Q182" i="63"/>
  <c r="Q184" i="63"/>
  <c r="Q185" i="63"/>
  <c r="Q186" i="63"/>
  <c r="Q187" i="63"/>
  <c r="Q189" i="63"/>
  <c r="Q209" i="63"/>
  <c r="Q210" i="63"/>
  <c r="Q211" i="63"/>
  <c r="Q212" i="63"/>
  <c r="Q213" i="63"/>
  <c r="Q214" i="63"/>
  <c r="Q215" i="63"/>
  <c r="Q216" i="63"/>
  <c r="Q217" i="63"/>
  <c r="Q218" i="63"/>
  <c r="Q219" i="63"/>
  <c r="Q220" i="63"/>
  <c r="Q221" i="63"/>
  <c r="Q222" i="63"/>
  <c r="Q223" i="63"/>
  <c r="Q224" i="63"/>
  <c r="Q225" i="63"/>
  <c r="Q226" i="63"/>
  <c r="Q227" i="63"/>
  <c r="Q228" i="63"/>
  <c r="L197" i="63"/>
  <c r="L199" i="63"/>
  <c r="L201" i="63"/>
  <c r="L203" i="63"/>
  <c r="L205" i="63"/>
  <c r="L207" i="63"/>
  <c r="L209" i="63"/>
  <c r="L211" i="63"/>
  <c r="L213" i="63"/>
  <c r="L215" i="63"/>
  <c r="L217" i="63"/>
  <c r="L219" i="63"/>
  <c r="L221" i="63"/>
  <c r="L223" i="63"/>
  <c r="L225" i="63"/>
  <c r="L227" i="63"/>
  <c r="L195" i="63"/>
  <c r="L154" i="63"/>
  <c r="L156" i="63"/>
  <c r="L158" i="63"/>
  <c r="L160" i="63"/>
  <c r="L162" i="63"/>
  <c r="L164" i="63"/>
  <c r="L166" i="63"/>
  <c r="L168" i="63"/>
  <c r="L170" i="63"/>
  <c r="L172" i="63"/>
  <c r="L174" i="63"/>
  <c r="L176" i="63"/>
  <c r="L178" i="63"/>
  <c r="L180" i="63"/>
  <c r="L182" i="63"/>
  <c r="L184" i="63"/>
  <c r="L186" i="63"/>
  <c r="L188" i="63"/>
  <c r="L152" i="63"/>
  <c r="G197" i="63"/>
  <c r="G198" i="63"/>
  <c r="G199" i="63"/>
  <c r="G200" i="63"/>
  <c r="G201" i="63"/>
  <c r="G202" i="63"/>
  <c r="G203" i="63"/>
  <c r="G204" i="63"/>
  <c r="G205" i="63"/>
  <c r="G206" i="63"/>
  <c r="G207" i="63"/>
  <c r="G208" i="63"/>
  <c r="G209" i="63"/>
  <c r="G210" i="63"/>
  <c r="G211" i="63"/>
  <c r="G212" i="63"/>
  <c r="G213" i="63"/>
  <c r="G214" i="63"/>
  <c r="G215" i="63"/>
  <c r="G216" i="63"/>
  <c r="G217" i="63"/>
  <c r="G218" i="63"/>
  <c r="G219" i="63"/>
  <c r="G220" i="63"/>
  <c r="G221" i="63"/>
  <c r="G222" i="63"/>
  <c r="G223" i="63"/>
  <c r="G224" i="63"/>
  <c r="G225" i="63"/>
  <c r="G226" i="63"/>
  <c r="G227" i="63"/>
  <c r="G228" i="63"/>
  <c r="G196" i="63"/>
  <c r="G154" i="63"/>
  <c r="G155" i="63"/>
  <c r="G156" i="63"/>
  <c r="G157" i="63"/>
  <c r="G158" i="63"/>
  <c r="G159" i="63"/>
  <c r="G160" i="63"/>
  <c r="G161" i="63"/>
  <c r="G162" i="63"/>
  <c r="G163" i="63"/>
  <c r="G164" i="63"/>
  <c r="G165" i="63"/>
  <c r="G166" i="63"/>
  <c r="G167" i="63"/>
  <c r="G168" i="63"/>
  <c r="G169" i="63"/>
  <c r="G170" i="63"/>
  <c r="G171" i="63"/>
  <c r="G172" i="63"/>
  <c r="G173" i="63"/>
  <c r="G174" i="63"/>
  <c r="G175" i="63"/>
  <c r="G176" i="63"/>
  <c r="G177" i="63"/>
  <c r="G178" i="63"/>
  <c r="G179" i="63"/>
  <c r="G180" i="63"/>
  <c r="G181" i="63"/>
  <c r="G182" i="63"/>
  <c r="G183" i="63"/>
  <c r="G184" i="63"/>
  <c r="G185" i="63"/>
  <c r="G186" i="63"/>
  <c r="G187" i="63"/>
  <c r="G188" i="63"/>
  <c r="G189" i="63"/>
  <c r="G153" i="63"/>
  <c r="O195" i="63"/>
  <c r="G152" i="63"/>
  <c r="W76" i="63"/>
  <c r="W78" i="63"/>
  <c r="W79" i="63"/>
  <c r="W80" i="63"/>
  <c r="W81" i="63"/>
  <c r="W82" i="63"/>
  <c r="W83" i="63"/>
  <c r="W84" i="63"/>
  <c r="W85" i="63"/>
  <c r="W86" i="63"/>
  <c r="W87" i="63"/>
  <c r="W88" i="63"/>
  <c r="W75" i="63"/>
  <c r="T49" i="63"/>
  <c r="T50" i="63"/>
  <c r="T51" i="63"/>
  <c r="T52" i="63"/>
  <c r="T53" i="63"/>
  <c r="T48" i="63"/>
  <c r="U38" i="63"/>
  <c r="U39" i="63"/>
  <c r="W28" i="63"/>
  <c r="W29" i="63"/>
  <c r="W30" i="63"/>
  <c r="W27" i="63"/>
  <c r="W19" i="63"/>
  <c r="W20" i="63"/>
  <c r="W18" i="63"/>
  <c r="U10" i="63"/>
  <c r="U11" i="63"/>
  <c r="P99" i="63"/>
  <c r="T99" i="63" s="1"/>
  <c r="Q99" i="63"/>
  <c r="U99" i="63" s="1"/>
  <c r="R99" i="63"/>
  <c r="P100" i="63"/>
  <c r="T100" i="63" s="1"/>
  <c r="Q100" i="63"/>
  <c r="U100" i="63" s="1"/>
  <c r="R100" i="63"/>
  <c r="P101" i="63"/>
  <c r="T101" i="63" s="1"/>
  <c r="Q101" i="63"/>
  <c r="U101" i="63" s="1"/>
  <c r="R101" i="63"/>
  <c r="P102" i="63"/>
  <c r="T102" i="63" s="1"/>
  <c r="Q102" i="63"/>
  <c r="R102" i="63"/>
  <c r="U102" i="63"/>
  <c r="P103" i="63"/>
  <c r="T103" i="63" s="1"/>
  <c r="Q103" i="63"/>
  <c r="U103" i="63" s="1"/>
  <c r="R103" i="63"/>
  <c r="P104" i="63"/>
  <c r="T104" i="63" s="1"/>
  <c r="Q104" i="63"/>
  <c r="U104" i="63" s="1"/>
  <c r="R104" i="63"/>
  <c r="P105" i="63"/>
  <c r="T105" i="63" s="1"/>
  <c r="Q105" i="63"/>
  <c r="U105" i="63" s="1"/>
  <c r="R105" i="63"/>
  <c r="P106" i="63"/>
  <c r="T106" i="63" s="1"/>
  <c r="Q106" i="63"/>
  <c r="U106" i="63" s="1"/>
  <c r="R106" i="63"/>
  <c r="P107" i="63"/>
  <c r="T107" i="63" s="1"/>
  <c r="Q107" i="63"/>
  <c r="U107" i="63" s="1"/>
  <c r="R107" i="63"/>
  <c r="P108" i="63"/>
  <c r="T108" i="63" s="1"/>
  <c r="Q108" i="63"/>
  <c r="R108" i="63"/>
  <c r="U108" i="63"/>
  <c r="P109" i="63"/>
  <c r="Q109" i="63"/>
  <c r="U109" i="63" s="1"/>
  <c r="R109" i="63"/>
  <c r="T109" i="63"/>
  <c r="P110" i="63"/>
  <c r="T110" i="63" s="1"/>
  <c r="Q110" i="63"/>
  <c r="U110" i="63" s="1"/>
  <c r="R110" i="63"/>
  <c r="P111" i="63"/>
  <c r="T111" i="63" s="1"/>
  <c r="Q111" i="63"/>
  <c r="U111" i="63" s="1"/>
  <c r="R111" i="63"/>
  <c r="P112" i="63"/>
  <c r="T112" i="63" s="1"/>
  <c r="Q112" i="63"/>
  <c r="U112" i="63" s="1"/>
  <c r="R112" i="63"/>
  <c r="P113" i="63"/>
  <c r="T113" i="63" s="1"/>
  <c r="Q113" i="63"/>
  <c r="U113" i="63" s="1"/>
  <c r="R113" i="63"/>
  <c r="P114" i="63"/>
  <c r="T114" i="63" s="1"/>
  <c r="Q114" i="63"/>
  <c r="R114" i="63"/>
  <c r="U114" i="63"/>
  <c r="P115" i="63"/>
  <c r="T115" i="63" s="1"/>
  <c r="Q115" i="63"/>
  <c r="U115" i="63" s="1"/>
  <c r="R115" i="63"/>
  <c r="P116" i="63"/>
  <c r="T116" i="63" s="1"/>
  <c r="Q116" i="63"/>
  <c r="R116" i="63"/>
  <c r="U116" i="63"/>
  <c r="P117" i="63"/>
  <c r="T117" i="63" s="1"/>
  <c r="Q117" i="63"/>
  <c r="U117" i="63" s="1"/>
  <c r="R117" i="63"/>
  <c r="P118" i="63"/>
  <c r="T118" i="63" s="1"/>
  <c r="Q118" i="63"/>
  <c r="U118" i="63" s="1"/>
  <c r="R118" i="63"/>
  <c r="P119" i="63"/>
  <c r="T119" i="63" s="1"/>
  <c r="Q119" i="63"/>
  <c r="U119" i="63" s="1"/>
  <c r="R119" i="63"/>
  <c r="P121" i="63"/>
  <c r="Q121" i="63"/>
  <c r="U121" i="63" s="1"/>
  <c r="R121" i="63"/>
  <c r="T121" i="63"/>
  <c r="P122" i="63"/>
  <c r="Q122" i="63"/>
  <c r="R122" i="63"/>
  <c r="T122" i="63"/>
  <c r="U122" i="63"/>
  <c r="P123" i="63"/>
  <c r="T123" i="63" s="1"/>
  <c r="Q123" i="63"/>
  <c r="R123" i="63"/>
  <c r="U123" i="63"/>
  <c r="P124" i="63"/>
  <c r="T124" i="63" s="1"/>
  <c r="Q124" i="63"/>
  <c r="U124" i="63" s="1"/>
  <c r="R124" i="63"/>
  <c r="P125" i="63"/>
  <c r="Q125" i="63"/>
  <c r="U125" i="63" s="1"/>
  <c r="R125" i="63"/>
  <c r="T125" i="63"/>
  <c r="P126" i="63"/>
  <c r="T126" i="63" s="1"/>
  <c r="Q126" i="63"/>
  <c r="U126" i="63" s="1"/>
  <c r="R126" i="63"/>
  <c r="P127" i="63"/>
  <c r="Q127" i="63"/>
  <c r="U127" i="63" s="1"/>
  <c r="R127" i="63"/>
  <c r="T127" i="63"/>
  <c r="P128" i="63"/>
  <c r="T128" i="63" s="1"/>
  <c r="Q128" i="63"/>
  <c r="R128" i="63"/>
  <c r="U128" i="63"/>
  <c r="P129" i="63"/>
  <c r="T129" i="63" s="1"/>
  <c r="Q129" i="63"/>
  <c r="U129" i="63" s="1"/>
  <c r="R129" i="63"/>
  <c r="P130" i="63"/>
  <c r="T130" i="63" s="1"/>
  <c r="Q130" i="63"/>
  <c r="R130" i="63"/>
  <c r="U130" i="63"/>
  <c r="P131" i="63"/>
  <c r="T131" i="63" s="1"/>
  <c r="Q131" i="63"/>
  <c r="U131" i="63" s="1"/>
  <c r="R131" i="63"/>
  <c r="P132" i="63"/>
  <c r="T132" i="63" s="1"/>
  <c r="Q132" i="63"/>
  <c r="U132" i="63" s="1"/>
  <c r="R132" i="63"/>
  <c r="P133" i="63"/>
  <c r="Q133" i="63"/>
  <c r="U133" i="63" s="1"/>
  <c r="R133" i="63"/>
  <c r="T133" i="63"/>
  <c r="P134" i="63"/>
  <c r="T134" i="63" s="1"/>
  <c r="Q134" i="63"/>
  <c r="U134" i="63" s="1"/>
  <c r="R134" i="63"/>
  <c r="P135" i="63"/>
  <c r="T135" i="63" s="1"/>
  <c r="Q135" i="63"/>
  <c r="U135" i="63" s="1"/>
  <c r="R135" i="63"/>
  <c r="P136" i="63"/>
  <c r="T136" i="63" s="1"/>
  <c r="Q136" i="63"/>
  <c r="U136" i="63" s="1"/>
  <c r="R136" i="63"/>
  <c r="P137" i="63"/>
  <c r="T137" i="63" s="1"/>
  <c r="Q137" i="63"/>
  <c r="U137" i="63" s="1"/>
  <c r="R137" i="63"/>
  <c r="P138" i="63"/>
  <c r="Q138" i="63"/>
  <c r="U138" i="63" s="1"/>
  <c r="R138" i="63"/>
  <c r="T138" i="63"/>
  <c r="P139" i="63"/>
  <c r="T139" i="63" s="1"/>
  <c r="Q139" i="63"/>
  <c r="R139" i="63"/>
  <c r="U139" i="63"/>
  <c r="P140" i="63"/>
  <c r="T140" i="63" s="1"/>
  <c r="Q140" i="63"/>
  <c r="U140" i="63" s="1"/>
  <c r="R140" i="63"/>
  <c r="P141" i="63"/>
  <c r="T141" i="63" s="1"/>
  <c r="Q141" i="63"/>
  <c r="U141" i="63" s="1"/>
  <c r="R141" i="63"/>
  <c r="P142" i="63"/>
  <c r="T142" i="63" s="1"/>
  <c r="Q142" i="63"/>
  <c r="U142" i="63" s="1"/>
  <c r="R142" i="63"/>
  <c r="P143" i="63"/>
  <c r="T143" i="63" s="1"/>
  <c r="Q143" i="63"/>
  <c r="U143" i="63" s="1"/>
  <c r="R143" i="63"/>
  <c r="T120" i="63"/>
  <c r="R120" i="63"/>
  <c r="Q120" i="63"/>
  <c r="U120" i="63" s="1"/>
  <c r="P120" i="63"/>
  <c r="I180" i="63" l="1"/>
  <c r="Q180" i="63" s="1"/>
  <c r="H180" i="63"/>
  <c r="I178" i="63"/>
  <c r="Q178" i="63" s="1"/>
  <c r="H178" i="63"/>
  <c r="I176" i="63"/>
  <c r="Q176" i="63" s="1"/>
  <c r="H176" i="63"/>
  <c r="I174" i="63"/>
  <c r="Q174" i="63" s="1"/>
  <c r="H174" i="63"/>
  <c r="I172" i="63"/>
  <c r="H172" i="63"/>
  <c r="I170" i="63"/>
  <c r="H170" i="63"/>
  <c r="I168" i="63"/>
  <c r="H168" i="63"/>
  <c r="I166" i="63"/>
  <c r="H166" i="63"/>
  <c r="I164" i="63"/>
  <c r="H164" i="63"/>
  <c r="I162" i="63"/>
  <c r="H162" i="63"/>
  <c r="I160" i="63"/>
  <c r="H160" i="63"/>
  <c r="I158" i="63"/>
  <c r="H158" i="63"/>
  <c r="H156" i="63"/>
  <c r="O156" i="63" s="1"/>
  <c r="I156" i="63"/>
  <c r="H154" i="63"/>
  <c r="O154" i="63" s="1"/>
  <c r="I154" i="63"/>
  <c r="H152" i="63"/>
  <c r="O152" i="63" s="1"/>
  <c r="I152" i="63"/>
  <c r="I181" i="63"/>
  <c r="H181" i="63"/>
  <c r="H179" i="63"/>
  <c r="I179" i="63"/>
  <c r="H177" i="63"/>
  <c r="I177" i="63"/>
  <c r="I175" i="63"/>
  <c r="H175" i="63"/>
  <c r="I173" i="63"/>
  <c r="R173" i="63" s="1"/>
  <c r="H173" i="63"/>
  <c r="I171" i="63"/>
  <c r="R171" i="63" s="1"/>
  <c r="H171" i="63"/>
  <c r="I169" i="63"/>
  <c r="R169" i="63" s="1"/>
  <c r="H169" i="63"/>
  <c r="I167" i="63"/>
  <c r="R167" i="63" s="1"/>
  <c r="H167" i="63"/>
  <c r="H165" i="63"/>
  <c r="I165" i="63"/>
  <c r="R165" i="63" s="1"/>
  <c r="I163" i="63"/>
  <c r="R163" i="63" s="1"/>
  <c r="H163" i="63"/>
  <c r="I161" i="63"/>
  <c r="R161" i="63" s="1"/>
  <c r="H161" i="63"/>
  <c r="I159" i="63"/>
  <c r="R159" i="63" s="1"/>
  <c r="H159" i="63"/>
  <c r="H157" i="63"/>
  <c r="O157" i="63" s="1"/>
  <c r="I157" i="63"/>
  <c r="H155" i="63"/>
  <c r="O155" i="63" s="1"/>
  <c r="I155" i="63"/>
  <c r="H153" i="63"/>
  <c r="O153" i="63" s="1"/>
  <c r="I153" i="63"/>
  <c r="I203" i="63"/>
  <c r="H203" i="63"/>
  <c r="I201" i="63"/>
  <c r="H201" i="63"/>
  <c r="H199" i="63"/>
  <c r="O199" i="63" s="1"/>
  <c r="I199" i="63"/>
  <c r="H197" i="63"/>
  <c r="O197" i="63" s="1"/>
  <c r="I197" i="63"/>
  <c r="I204" i="63"/>
  <c r="H204" i="63"/>
  <c r="I202" i="63"/>
  <c r="H202" i="63"/>
  <c r="H200" i="63"/>
  <c r="O200" i="63" s="1"/>
  <c r="I200" i="63"/>
  <c r="H198" i="63"/>
  <c r="O198" i="63" s="1"/>
  <c r="I198" i="63"/>
  <c r="H196" i="63"/>
  <c r="O196" i="63" s="1"/>
  <c r="I196" i="63"/>
  <c r="I188" i="63"/>
  <c r="Q188" i="63" s="1"/>
  <c r="H188" i="63"/>
  <c r="H183" i="63"/>
  <c r="I183" i="63"/>
  <c r="Q183" i="63" s="1"/>
  <c r="A120" i="63"/>
  <c r="A121" i="63"/>
  <c r="A122" i="63"/>
  <c r="A123" i="63"/>
  <c r="A124" i="63"/>
  <c r="A125" i="63"/>
  <c r="A126" i="63"/>
  <c r="A127" i="63"/>
  <c r="A128" i="63"/>
  <c r="A129" i="63"/>
  <c r="A130" i="63"/>
  <c r="A131" i="63"/>
  <c r="A132" i="63"/>
  <c r="A133" i="63"/>
  <c r="A134" i="63"/>
  <c r="A135" i="63"/>
  <c r="A136" i="63"/>
  <c r="A137" i="63"/>
  <c r="A138" i="63"/>
  <c r="A139" i="63"/>
  <c r="A140" i="63"/>
  <c r="A141" i="63"/>
  <c r="A142" i="63"/>
  <c r="A143" i="63"/>
  <c r="O180" i="63" l="1"/>
  <c r="S180" i="63"/>
  <c r="P180" i="63"/>
  <c r="S178" i="63"/>
  <c r="O178" i="63"/>
  <c r="P178" i="63"/>
  <c r="O176" i="63"/>
  <c r="S176" i="63"/>
  <c r="P176" i="63"/>
  <c r="O174" i="63"/>
  <c r="S174" i="63"/>
  <c r="P174" i="63"/>
  <c r="O172" i="63"/>
  <c r="S172" i="63"/>
  <c r="O170" i="63"/>
  <c r="S170" i="63"/>
  <c r="O168" i="63"/>
  <c r="S168" i="63"/>
  <c r="S166" i="63"/>
  <c r="O166" i="63"/>
  <c r="O164" i="63"/>
  <c r="S164" i="63"/>
  <c r="O162" i="63"/>
  <c r="S162" i="63"/>
  <c r="S160" i="63"/>
  <c r="O160" i="63"/>
  <c r="O158" i="63"/>
  <c r="S158" i="63"/>
  <c r="O181" i="63"/>
  <c r="S181" i="63"/>
  <c r="W180" i="63" s="1"/>
  <c r="P181" i="63"/>
  <c r="R181" i="63"/>
  <c r="Q181" i="63"/>
  <c r="R179" i="63"/>
  <c r="Q179" i="63"/>
  <c r="O179" i="63"/>
  <c r="S179" i="63"/>
  <c r="W178" i="63" s="1"/>
  <c r="P179" i="63"/>
  <c r="R177" i="63"/>
  <c r="Q177" i="63"/>
  <c r="O177" i="63"/>
  <c r="S177" i="63"/>
  <c r="W176" i="63" s="1"/>
  <c r="P177" i="63"/>
  <c r="O175" i="63"/>
  <c r="S175" i="63"/>
  <c r="W174" i="63" s="1"/>
  <c r="P175" i="63"/>
  <c r="R175" i="63"/>
  <c r="Q175" i="63"/>
  <c r="O173" i="63"/>
  <c r="S173" i="63"/>
  <c r="O171" i="63"/>
  <c r="S171" i="63"/>
  <c r="W170" i="63" s="1"/>
  <c r="O169" i="63"/>
  <c r="S169" i="63"/>
  <c r="W168" i="63" s="1"/>
  <c r="O167" i="63"/>
  <c r="S167" i="63"/>
  <c r="W166" i="63" s="1"/>
  <c r="O165" i="63"/>
  <c r="S165" i="63"/>
  <c r="O163" i="63"/>
  <c r="S163" i="63"/>
  <c r="O161" i="63"/>
  <c r="S161" i="63"/>
  <c r="P161" i="63"/>
  <c r="O159" i="63"/>
  <c r="S159" i="63"/>
  <c r="S203" i="63"/>
  <c r="O203" i="63"/>
  <c r="S201" i="63"/>
  <c r="O201" i="63"/>
  <c r="O204" i="63"/>
  <c r="S204" i="63"/>
  <c r="W203" i="63" s="1"/>
  <c r="O202" i="63"/>
  <c r="S202" i="63"/>
  <c r="W201" i="63" s="1"/>
  <c r="O188" i="63"/>
  <c r="S188" i="63"/>
  <c r="W188" i="63" s="1"/>
  <c r="P188" i="63"/>
  <c r="O183" i="63"/>
  <c r="S183" i="63"/>
  <c r="W182" i="63" s="1"/>
  <c r="P183" i="63"/>
  <c r="A107" i="63"/>
  <c r="A108" i="63"/>
  <c r="A109" i="63"/>
  <c r="A110" i="63"/>
  <c r="A111" i="63"/>
  <c r="A112" i="63"/>
  <c r="A113" i="63"/>
  <c r="A114" i="63"/>
  <c r="A115" i="63"/>
  <c r="A116" i="63"/>
  <c r="A117" i="63"/>
  <c r="A118" i="63"/>
  <c r="A119" i="63"/>
  <c r="W172" i="63" l="1"/>
  <c r="W164" i="63"/>
  <c r="W162" i="63"/>
  <c r="W158" i="63"/>
  <c r="W77" i="63"/>
  <c r="S7" i="63"/>
  <c r="Q7" i="63"/>
  <c r="Z148" i="63" l="1"/>
  <c r="A99" i="63" l="1"/>
  <c r="A100" i="63"/>
  <c r="A101" i="63"/>
  <c r="A102" i="63"/>
  <c r="A103" i="63"/>
  <c r="A104" i="63"/>
  <c r="A105" i="63"/>
  <c r="A106" i="63"/>
  <c r="Q152" i="63" l="1"/>
  <c r="Q204" i="63"/>
  <c r="S157" i="63"/>
  <c r="Q163" i="63"/>
  <c r="Q169" i="63"/>
  <c r="Q205" i="63"/>
  <c r="Q158" i="63"/>
  <c r="Q164" i="63"/>
  <c r="Q170" i="63"/>
  <c r="Q206" i="63"/>
  <c r="S153" i="63"/>
  <c r="Q159" i="63"/>
  <c r="Q165" i="63"/>
  <c r="Q171" i="63"/>
  <c r="Q201" i="63"/>
  <c r="Q207" i="63"/>
  <c r="S154" i="63"/>
  <c r="Q160" i="63"/>
  <c r="Q166" i="63"/>
  <c r="Q172" i="63"/>
  <c r="Q202" i="63"/>
  <c r="Q208" i="63"/>
  <c r="S155" i="63"/>
  <c r="Q161" i="63"/>
  <c r="Q167" i="63"/>
  <c r="Q173" i="63"/>
  <c r="Q203" i="63"/>
  <c r="S156" i="63"/>
  <c r="Q162" i="63"/>
  <c r="Q168" i="63"/>
  <c r="Q200" i="63" l="1"/>
  <c r="S200" i="63"/>
  <c r="R200" i="63"/>
  <c r="Q199" i="63"/>
  <c r="S199" i="63"/>
  <c r="Q197" i="63"/>
  <c r="S197" i="63"/>
  <c r="Q198" i="63"/>
  <c r="S198" i="63"/>
  <c r="R198" i="63"/>
  <c r="Q196" i="63"/>
  <c r="S196" i="63"/>
  <c r="R196" i="63"/>
  <c r="Q195" i="63"/>
  <c r="S195" i="63"/>
  <c r="Q156" i="63"/>
  <c r="Q157" i="63"/>
  <c r="R157" i="63"/>
  <c r="Q155" i="63"/>
  <c r="R155" i="63"/>
  <c r="Q154" i="63"/>
  <c r="Q153" i="63"/>
  <c r="W152" i="63"/>
  <c r="R153" i="63"/>
  <c r="P152" i="63"/>
  <c r="P172" i="63"/>
  <c r="P171" i="63"/>
  <c r="P153" i="63"/>
  <c r="P198" i="63"/>
  <c r="P155" i="63"/>
  <c r="P166" i="63"/>
  <c r="P206" i="63"/>
  <c r="P164" i="63"/>
  <c r="P159" i="63"/>
  <c r="P197" i="63"/>
  <c r="P165" i="63"/>
  <c r="P208" i="63"/>
  <c r="P160" i="63"/>
  <c r="P200" i="63"/>
  <c r="P169" i="63"/>
  <c r="P203" i="63"/>
  <c r="P195" i="63"/>
  <c r="P158" i="63"/>
  <c r="P202" i="63"/>
  <c r="P154" i="63"/>
  <c r="P170" i="63"/>
  <c r="P163" i="63"/>
  <c r="W160" i="63"/>
  <c r="P173" i="63"/>
  <c r="P196" i="63"/>
  <c r="P207" i="63"/>
  <c r="P205" i="63"/>
  <c r="P157" i="63"/>
  <c r="P156" i="63"/>
  <c r="P168" i="63"/>
  <c r="P162" i="63"/>
  <c r="P167" i="63"/>
  <c r="P201" i="63"/>
  <c r="P199" i="63"/>
  <c r="P204" i="63"/>
  <c r="W199" i="63" l="1"/>
  <c r="W197" i="63"/>
  <c r="W195" i="63"/>
  <c r="W156" i="63"/>
  <c r="W154" i="63"/>
  <c r="E41" i="64"/>
  <c r="Y10" i="61" l="1"/>
  <c r="Y8" i="61"/>
  <c r="Y30" i="61" l="1"/>
  <c r="Y28" i="61"/>
  <c r="P25" i="61"/>
  <c r="P21" i="61"/>
  <c r="Y16" i="61"/>
  <c r="Y12" i="61"/>
  <c r="AB36" i="61" l="1"/>
  <c r="J23" i="57" s="1"/>
  <c r="V23" i="57" s="1"/>
  <c r="AB37" i="61"/>
  <c r="J24" i="57" s="1"/>
  <c r="AA36" i="61"/>
  <c r="AA37" i="61"/>
  <c r="AC36" i="61"/>
  <c r="AC37" i="61"/>
  <c r="AC33" i="61"/>
  <c r="AC34" i="61"/>
  <c r="AA33" i="61"/>
  <c r="AA34" i="61"/>
  <c r="AB33" i="61"/>
  <c r="J20" i="57" s="1"/>
  <c r="AB34" i="61"/>
  <c r="J21" i="57" s="1"/>
  <c r="K36" i="61"/>
  <c r="K37" i="61"/>
  <c r="K33" i="61"/>
  <c r="K34" i="61"/>
  <c r="D36" i="61"/>
  <c r="D37" i="61"/>
  <c r="D33" i="61"/>
  <c r="D34" i="61"/>
  <c r="D14" i="61"/>
  <c r="D12" i="61"/>
  <c r="Q10" i="61"/>
  <c r="J10" i="61"/>
  <c r="Q8" i="61"/>
  <c r="J8" i="61"/>
  <c r="O6" i="61"/>
  <c r="D6" i="61"/>
  <c r="O42" i="61"/>
  <c r="O38" i="61"/>
  <c r="H42" i="61"/>
  <c r="H38" i="61"/>
  <c r="D42" i="61"/>
  <c r="D38" i="61"/>
  <c r="K35" i="61"/>
  <c r="K32" i="61"/>
  <c r="D35" i="61"/>
  <c r="D32" i="61"/>
  <c r="D30" i="61"/>
  <c r="J30" i="61"/>
  <c r="J28" i="61"/>
  <c r="D28" i="61"/>
  <c r="N24" i="61"/>
  <c r="H24" i="61"/>
  <c r="D24" i="61"/>
  <c r="N20" i="61"/>
  <c r="H20" i="61"/>
  <c r="D20" i="61"/>
  <c r="D18" i="61"/>
  <c r="I16" i="61"/>
  <c r="D16" i="61"/>
  <c r="I12" i="61"/>
  <c r="D10" i="61"/>
  <c r="D8" i="61"/>
  <c r="O4" i="61"/>
  <c r="D4" i="61"/>
  <c r="AC45" i="61"/>
  <c r="AC43" i="61"/>
  <c r="AC41" i="61"/>
  <c r="AC39" i="61"/>
  <c r="AC27" i="61"/>
  <c r="AC25" i="61"/>
  <c r="AC23" i="61"/>
  <c r="AC21" i="61"/>
  <c r="AC35" i="61"/>
  <c r="AC32" i="61"/>
  <c r="AC31" i="61"/>
  <c r="AC30" i="61"/>
  <c r="AC29" i="61"/>
  <c r="AC28" i="61"/>
  <c r="AC17" i="61"/>
  <c r="AC16" i="61"/>
  <c r="AC13" i="61"/>
  <c r="AC12" i="61"/>
  <c r="AC5" i="61"/>
  <c r="AC6" i="61"/>
  <c r="AC7" i="61"/>
  <c r="AC8" i="61"/>
  <c r="AC9" i="61"/>
  <c r="AC10" i="61"/>
  <c r="AC11" i="61"/>
  <c r="AC4" i="61"/>
  <c r="AA45" i="61"/>
  <c r="AA43" i="61"/>
  <c r="AA41" i="61"/>
  <c r="AA39" i="61"/>
  <c r="AA32" i="61"/>
  <c r="AA27" i="61"/>
  <c r="AA25" i="61"/>
  <c r="AA23" i="61"/>
  <c r="AA21" i="61"/>
  <c r="AA16" i="61"/>
  <c r="AA29" i="61"/>
  <c r="AA30" i="61"/>
  <c r="AA31" i="61"/>
  <c r="AA35" i="61"/>
  <c r="AA28" i="61"/>
  <c r="AA19" i="61"/>
  <c r="AA17" i="61"/>
  <c r="AA15" i="61"/>
  <c r="AA5" i="61"/>
  <c r="AA6" i="61"/>
  <c r="AA7" i="61"/>
  <c r="AA8" i="61"/>
  <c r="AA9" i="61"/>
  <c r="AA10" i="61"/>
  <c r="AA11" i="61"/>
  <c r="AA12" i="61"/>
  <c r="AA13" i="61"/>
  <c r="AA4" i="61"/>
  <c r="H6" i="61"/>
  <c r="H4" i="61"/>
  <c r="AB15" i="61"/>
  <c r="J10" i="57" s="1"/>
  <c r="AB19" i="61"/>
  <c r="J12" i="57" s="1"/>
  <c r="Y43" i="61"/>
  <c r="Y39" i="61"/>
  <c r="X43" i="61"/>
  <c r="X39" i="61"/>
  <c r="S43" i="61"/>
  <c r="S39" i="61"/>
  <c r="V43" i="61"/>
  <c r="V39" i="61"/>
  <c r="U43" i="61"/>
  <c r="U39" i="61"/>
  <c r="AB30" i="61"/>
  <c r="AB28" i="61"/>
  <c r="J15" i="57" s="1"/>
  <c r="Y25" i="61"/>
  <c r="Y21" i="61"/>
  <c r="X25" i="61"/>
  <c r="X21" i="61"/>
  <c r="V25" i="61"/>
  <c r="S25" i="61"/>
  <c r="R25" i="61"/>
  <c r="U25" i="61"/>
  <c r="R21" i="61"/>
  <c r="U21" i="61"/>
  <c r="V21" i="61"/>
  <c r="S21" i="61"/>
  <c r="AB16" i="61"/>
  <c r="J11" i="57" s="1"/>
  <c r="X10" i="61"/>
  <c r="X8" i="61"/>
  <c r="V8" i="61"/>
  <c r="AB8" i="61" s="1"/>
  <c r="Y6" i="61"/>
  <c r="AB6" i="61" s="1"/>
  <c r="J6" i="57" s="1"/>
  <c r="Y4" i="61"/>
  <c r="AB4" i="61" s="1"/>
  <c r="J5" i="57" s="1"/>
  <c r="N11" i="57" l="1"/>
  <c r="AB43" i="61"/>
  <c r="AB21" i="61"/>
  <c r="AB25" i="61"/>
  <c r="N15" i="57"/>
  <c r="N6" i="57"/>
  <c r="N5" i="57"/>
  <c r="J14" i="57" l="1"/>
  <c r="N14" i="57" s="1"/>
  <c r="V42" i="57" s="1"/>
  <c r="J13" i="57"/>
  <c r="N13" i="57" s="1"/>
  <c r="V33" i="57" s="1"/>
  <c r="J18" i="57"/>
  <c r="N18" i="57" s="1"/>
  <c r="W38" i="57" s="1"/>
  <c r="V28" i="57"/>
  <c r="V37" i="57"/>
  <c r="V40" i="57"/>
  <c r="U31" i="57"/>
  <c r="V31" i="57"/>
  <c r="U40" i="57"/>
  <c r="U28" i="57"/>
  <c r="U37" i="57"/>
  <c r="V29" i="57"/>
  <c r="V38" i="57"/>
  <c r="AB39" i="61"/>
  <c r="AB12" i="61"/>
  <c r="J9" i="57" s="1"/>
  <c r="N9" i="57" s="1"/>
  <c r="J17" i="57" l="1"/>
  <c r="N17" i="57" s="1"/>
  <c r="W29" i="57" s="1"/>
  <c r="V41" i="57"/>
  <c r="V32" i="57"/>
  <c r="W37" i="57"/>
  <c r="J37" i="57" s="1"/>
  <c r="W28" i="57"/>
  <c r="V10" i="61"/>
  <c r="AB35" i="61"/>
  <c r="J22" i="57" s="1"/>
  <c r="N22" i="57" s="1"/>
  <c r="AB32" i="61"/>
  <c r="J30" i="57" l="1"/>
  <c r="U32" i="57"/>
  <c r="U41" i="57"/>
  <c r="J19" i="57"/>
  <c r="N8" i="57"/>
  <c r="V19" i="57" l="1"/>
  <c r="N19" i="57" s="1"/>
  <c r="U39" i="57"/>
  <c r="J35" i="57" s="1"/>
  <c r="U30" i="57"/>
  <c r="J28" i="57" s="1"/>
  <c r="N7" i="57"/>
  <c r="V43" i="57" l="1"/>
  <c r="V34" i="57"/>
  <c r="V30" i="57"/>
  <c r="V39" i="57"/>
  <c r="G6" i="58"/>
  <c r="J36" i="57" l="1"/>
  <c r="J38" i="57" s="1"/>
  <c r="J29" i="57"/>
  <c r="J31" i="57" s="1"/>
  <c r="E15" i="64"/>
  <c r="E19" i="64" s="1"/>
  <c r="E30" i="64" s="1"/>
  <c r="E25" i="64" l="1"/>
  <c r="E27" i="64" s="1"/>
  <c r="J30" i="64" s="1"/>
  <c r="E38" i="64" l="1"/>
  <c r="J41" i="64" s="1"/>
  <c r="F41" i="64" s="1"/>
  <c r="F30" i="64"/>
  <c r="E31" i="64"/>
  <c r="E42" i="64" l="1"/>
  <c r="S152" i="63" l="1"/>
  <c r="U98" i="63"/>
  <c r="Q98" i="63"/>
  <c r="T98" i="63"/>
  <c r="P98" i="63"/>
  <c r="A98" i="63"/>
  <c r="R98" i="63"/>
</calcChain>
</file>

<file path=xl/sharedStrings.xml><?xml version="1.0" encoding="utf-8"?>
<sst xmlns="http://schemas.openxmlformats.org/spreadsheetml/2006/main" count="1309" uniqueCount="635">
  <si>
    <t>荷重</t>
    <rPh sb="0" eb="2">
      <t>カジュウ</t>
    </rPh>
    <phoneticPr fontId="1"/>
  </si>
  <si>
    <t>継手・仕口</t>
    <rPh sb="0" eb="2">
      <t>ツギテ</t>
    </rPh>
    <rPh sb="3" eb="4">
      <t>シ</t>
    </rPh>
    <rPh sb="4" eb="5">
      <t>グチ</t>
    </rPh>
    <phoneticPr fontId="1"/>
  </si>
  <si>
    <t>材料</t>
  </si>
  <si>
    <t>種別</t>
  </si>
  <si>
    <t>使用場所</t>
  </si>
  <si>
    <t>コンクリート</t>
  </si>
  <si>
    <t>SD295A</t>
  </si>
  <si>
    <t>木材</t>
  </si>
  <si>
    <t>桧</t>
  </si>
  <si>
    <t>杉</t>
  </si>
  <si>
    <t>上記以外</t>
  </si>
  <si>
    <t>材料強度</t>
  </si>
  <si>
    <t>無等級</t>
  </si>
  <si>
    <t>Fc</t>
  </si>
  <si>
    <t>Ft</t>
  </si>
  <si>
    <t>Fb</t>
  </si>
  <si>
    <t>Fs</t>
  </si>
  <si>
    <t>めり込み</t>
  </si>
  <si>
    <t>長期許容応力度</t>
  </si>
  <si>
    <t>短期許容応力度</t>
  </si>
  <si>
    <t>種類</t>
  </si>
  <si>
    <t>圧縮</t>
  </si>
  <si>
    <t>せん断</t>
  </si>
  <si>
    <t>付着</t>
  </si>
  <si>
    <t>短期許容応力</t>
  </si>
  <si>
    <t>基準強度</t>
  </si>
  <si>
    <t>引張り</t>
  </si>
  <si>
    <t>■Ⅳ外壁</t>
    <rPh sb="2" eb="4">
      <t>ガイヘキ</t>
    </rPh>
    <phoneticPr fontId="6"/>
  </si>
  <si>
    <t>備考</t>
    <rPh sb="0" eb="2">
      <t>ビコウ</t>
    </rPh>
    <phoneticPr fontId="1"/>
  </si>
  <si>
    <t>種類</t>
    <rPh sb="0" eb="2">
      <t>シュルイ</t>
    </rPh>
    <phoneticPr fontId="1"/>
  </si>
  <si>
    <t>壁</t>
    <rPh sb="0" eb="1">
      <t>カベ</t>
    </rPh>
    <phoneticPr fontId="1"/>
  </si>
  <si>
    <t>屋根材</t>
    <rPh sb="0" eb="2">
      <t>ヤネ</t>
    </rPh>
    <rPh sb="2" eb="3">
      <t>ザイ</t>
    </rPh>
    <phoneticPr fontId="1"/>
  </si>
  <si>
    <t>外壁</t>
    <rPh sb="0" eb="2">
      <t>ガイヘキ</t>
    </rPh>
    <phoneticPr fontId="1"/>
  </si>
  <si>
    <t>設計のクライテリアを下記のように定める。</t>
    <phoneticPr fontId="1"/>
  </si>
  <si>
    <t>Fc18N/㎟</t>
  </si>
  <si>
    <t>D13以下</t>
  </si>
  <si>
    <t>N/㎟</t>
  </si>
  <si>
    <t>使用材料と許容応力度</t>
    <rPh sb="0" eb="2">
      <t>シヨウ</t>
    </rPh>
    <rPh sb="2" eb="4">
      <t>ザイリョウ</t>
    </rPh>
    <rPh sb="5" eb="7">
      <t>キョヨウ</t>
    </rPh>
    <rPh sb="7" eb="9">
      <t>オウリョク</t>
    </rPh>
    <rPh sb="9" eb="10">
      <t>ド</t>
    </rPh>
    <phoneticPr fontId="1"/>
  </si>
  <si>
    <t>4.</t>
    <phoneticPr fontId="1"/>
  </si>
  <si>
    <t>5.</t>
    <phoneticPr fontId="1"/>
  </si>
  <si>
    <t>3.</t>
    <phoneticPr fontId="1"/>
  </si>
  <si>
    <t>1.</t>
    <phoneticPr fontId="1"/>
  </si>
  <si>
    <t>2.</t>
    <phoneticPr fontId="1"/>
  </si>
  <si>
    <t>層</t>
    <rPh sb="0" eb="1">
      <t>ソウ</t>
    </rPh>
    <phoneticPr fontId="6"/>
  </si>
  <si>
    <t>荷重（固定・積載）算定項目</t>
    <rPh sb="0" eb="2">
      <t>カジュウ</t>
    </rPh>
    <rPh sb="3" eb="5">
      <t>コテイ</t>
    </rPh>
    <rPh sb="6" eb="8">
      <t>セキサイ</t>
    </rPh>
    <rPh sb="9" eb="11">
      <t>サンテイ</t>
    </rPh>
    <rPh sb="11" eb="13">
      <t>コウモク</t>
    </rPh>
    <phoneticPr fontId="6"/>
  </si>
  <si>
    <t>基礎用荷重算定</t>
    <rPh sb="0" eb="2">
      <t>キソ</t>
    </rPh>
    <rPh sb="2" eb="3">
      <t>ヨウ</t>
    </rPh>
    <rPh sb="3" eb="5">
      <t>カジュウ</t>
    </rPh>
    <rPh sb="5" eb="7">
      <t>サンテイ</t>
    </rPh>
    <phoneticPr fontId="6"/>
  </si>
  <si>
    <t>Y2</t>
    <phoneticPr fontId="1"/>
  </si>
  <si>
    <t>Y1</t>
    <phoneticPr fontId="1"/>
  </si>
  <si>
    <t>B1</t>
    <phoneticPr fontId="1"/>
  </si>
  <si>
    <t>m</t>
    <phoneticPr fontId="1"/>
  </si>
  <si>
    <t>通し柱</t>
    <rPh sb="0" eb="1">
      <t>トオ</t>
    </rPh>
    <rPh sb="2" eb="3">
      <t>ハシラ</t>
    </rPh>
    <phoneticPr fontId="1"/>
  </si>
  <si>
    <t>kN</t>
    <phoneticPr fontId="1"/>
  </si>
  <si>
    <t>固定荷重</t>
    <rPh sb="0" eb="2">
      <t>コテイ</t>
    </rPh>
    <rPh sb="2" eb="4">
      <t>カジュウ</t>
    </rPh>
    <phoneticPr fontId="1"/>
  </si>
  <si>
    <t>(1)</t>
    <phoneticPr fontId="1"/>
  </si>
  <si>
    <t>住宅の居室、住宅以外の建築物における寝室又は病室</t>
    <rPh sb="0" eb="2">
      <t>ジュウタク</t>
    </rPh>
    <rPh sb="3" eb="5">
      <t>キョシツ</t>
    </rPh>
    <rPh sb="6" eb="8">
      <t>ジュウタク</t>
    </rPh>
    <rPh sb="8" eb="10">
      <t>イガイ</t>
    </rPh>
    <rPh sb="11" eb="14">
      <t>ケンチクブツ</t>
    </rPh>
    <rPh sb="18" eb="20">
      <t>シンシツ</t>
    </rPh>
    <rPh sb="20" eb="21">
      <t>マタ</t>
    </rPh>
    <rPh sb="22" eb="24">
      <t>ビョウシツ</t>
    </rPh>
    <phoneticPr fontId="1"/>
  </si>
  <si>
    <t>室の種類</t>
    <rPh sb="0" eb="1">
      <t>シツ</t>
    </rPh>
    <rPh sb="2" eb="4">
      <t>シュルイ</t>
    </rPh>
    <phoneticPr fontId="1"/>
  </si>
  <si>
    <t>構造計算の対象</t>
    <rPh sb="0" eb="2">
      <t>コウゾウ</t>
    </rPh>
    <rPh sb="2" eb="4">
      <t>ケイサン</t>
    </rPh>
    <rPh sb="5" eb="7">
      <t>タイショウ</t>
    </rPh>
    <phoneticPr fontId="1"/>
  </si>
  <si>
    <t>（い）</t>
    <phoneticPr fontId="1"/>
  </si>
  <si>
    <t>（ろ）</t>
    <phoneticPr fontId="1"/>
  </si>
  <si>
    <t>（は）</t>
    <phoneticPr fontId="1"/>
  </si>
  <si>
    <t>N/㎡</t>
    <phoneticPr fontId="1"/>
  </si>
  <si>
    <t>床の構造計算をする場合</t>
    <rPh sb="0" eb="1">
      <t>ユカ</t>
    </rPh>
    <rPh sb="2" eb="4">
      <t>コウゾウ</t>
    </rPh>
    <rPh sb="4" eb="6">
      <t>ケイサン</t>
    </rPh>
    <rPh sb="9" eb="11">
      <t>バアイ</t>
    </rPh>
    <phoneticPr fontId="1"/>
  </si>
  <si>
    <t>おおばり、柱又は基礎の構造計算をする場合</t>
    <rPh sb="5" eb="6">
      <t>ハシラ</t>
    </rPh>
    <rPh sb="6" eb="7">
      <t>マタ</t>
    </rPh>
    <rPh sb="8" eb="10">
      <t>キソ</t>
    </rPh>
    <rPh sb="11" eb="13">
      <t>コウゾウ</t>
    </rPh>
    <rPh sb="13" eb="15">
      <t>ケイサン</t>
    </rPh>
    <rPh sb="18" eb="20">
      <t>バアイ</t>
    </rPh>
    <phoneticPr fontId="1"/>
  </si>
  <si>
    <t>地震力を計算する場合</t>
    <rPh sb="0" eb="3">
      <t>ジシンリョク</t>
    </rPh>
    <rPh sb="4" eb="6">
      <t>ケイサン</t>
    </rPh>
    <rPh sb="8" eb="10">
      <t>バアイ</t>
    </rPh>
    <phoneticPr fontId="1"/>
  </si>
  <si>
    <t>D1</t>
    <phoneticPr fontId="1"/>
  </si>
  <si>
    <t>B2</t>
    <phoneticPr fontId="1"/>
  </si>
  <si>
    <t>目次</t>
    <rPh sb="0" eb="2">
      <t>モクジ</t>
    </rPh>
    <phoneticPr fontId="1"/>
  </si>
  <si>
    <t>地盤調査報告書</t>
    <rPh sb="0" eb="2">
      <t>ジバン</t>
    </rPh>
    <rPh sb="2" eb="4">
      <t>チョウサ</t>
    </rPh>
    <rPh sb="4" eb="7">
      <t>ホウコクショ</t>
    </rPh>
    <phoneticPr fontId="1"/>
  </si>
  <si>
    <t>□</t>
    <phoneticPr fontId="1"/>
  </si>
  <si>
    <t>単位荷重</t>
    <rPh sb="0" eb="2">
      <t>タンイ</t>
    </rPh>
    <rPh sb="2" eb="4">
      <t>カジュウ</t>
    </rPh>
    <phoneticPr fontId="1"/>
  </si>
  <si>
    <t>仕様規定</t>
    <rPh sb="0" eb="2">
      <t>シヨウ</t>
    </rPh>
    <rPh sb="2" eb="4">
      <t>キテイ</t>
    </rPh>
    <phoneticPr fontId="1"/>
  </si>
  <si>
    <t>構造計算</t>
    <rPh sb="0" eb="2">
      <t>コウゾウ</t>
    </rPh>
    <rPh sb="2" eb="4">
      <t>ケイサン</t>
    </rPh>
    <phoneticPr fontId="1"/>
  </si>
  <si>
    <t>■Ⅱ小屋組み・天井＋■Ⅵ内壁(２階上半分）</t>
    <rPh sb="2" eb="4">
      <t>コヤ</t>
    </rPh>
    <rPh sb="4" eb="5">
      <t>グ</t>
    </rPh>
    <rPh sb="7" eb="9">
      <t>テンジョウ</t>
    </rPh>
    <rPh sb="12" eb="14">
      <t>ウチカベ</t>
    </rPh>
    <rPh sb="13" eb="14">
      <t>カベ</t>
    </rPh>
    <rPh sb="16" eb="17">
      <t>カイ</t>
    </rPh>
    <rPh sb="17" eb="18">
      <t>ウエ</t>
    </rPh>
    <rPh sb="18" eb="20">
      <t>ハンブン</t>
    </rPh>
    <phoneticPr fontId="6"/>
  </si>
  <si>
    <t>■Ⅱ小屋組み・天井＋■Ⅵ内壁(１階上半分）</t>
    <rPh sb="2" eb="4">
      <t>コヤ</t>
    </rPh>
    <rPh sb="4" eb="5">
      <t>グ</t>
    </rPh>
    <rPh sb="7" eb="9">
      <t>テンジョウ</t>
    </rPh>
    <rPh sb="12" eb="14">
      <t>ウチカベ</t>
    </rPh>
    <rPh sb="13" eb="14">
      <t>カベ</t>
    </rPh>
    <rPh sb="16" eb="17">
      <t>カイ</t>
    </rPh>
    <rPh sb="17" eb="18">
      <t>ウエ</t>
    </rPh>
    <rPh sb="18" eb="20">
      <t>ハンブン</t>
    </rPh>
    <phoneticPr fontId="6"/>
  </si>
  <si>
    <t>A2</t>
    <phoneticPr fontId="6"/>
  </si>
  <si>
    <t>A1</t>
    <phoneticPr fontId="6"/>
  </si>
  <si>
    <t>■Ⅰ屋根</t>
    <rPh sb="2" eb="4">
      <t>ヤネ</t>
    </rPh>
    <phoneticPr fontId="6"/>
  </si>
  <si>
    <t>B2</t>
    <phoneticPr fontId="6"/>
  </si>
  <si>
    <t>B1</t>
    <phoneticPr fontId="6"/>
  </si>
  <si>
    <t>C2</t>
    <phoneticPr fontId="6"/>
  </si>
  <si>
    <t>C1</t>
    <phoneticPr fontId="6"/>
  </si>
  <si>
    <t>H2</t>
    <phoneticPr fontId="6"/>
  </si>
  <si>
    <t>D1</t>
    <phoneticPr fontId="6"/>
  </si>
  <si>
    <t>Z1</t>
    <phoneticPr fontId="1"/>
  </si>
  <si>
    <t>Z2</t>
    <phoneticPr fontId="1"/>
  </si>
  <si>
    <t>A2+Y2+B2+C2+Z2</t>
    <phoneticPr fontId="1"/>
  </si>
  <si>
    <t>A1+Y1+B1+C2+C1+H2+Z1</t>
    <phoneticPr fontId="1"/>
  </si>
  <si>
    <t>C1+D1</t>
    <phoneticPr fontId="1"/>
  </si>
  <si>
    <t>■Ⅷ１階床＋■Ⅵ内壁(１階下半分）＋■Ⅸ積載荷重</t>
    <rPh sb="3" eb="4">
      <t>カイ</t>
    </rPh>
    <rPh sb="4" eb="5">
      <t>ユカ</t>
    </rPh>
    <rPh sb="13" eb="14">
      <t>シタ</t>
    </rPh>
    <phoneticPr fontId="6"/>
  </si>
  <si>
    <t>■Ⅶ 付属物</t>
    <rPh sb="3" eb="5">
      <t>フゾク</t>
    </rPh>
    <rPh sb="5" eb="6">
      <t>ブツ</t>
    </rPh>
    <phoneticPr fontId="6"/>
  </si>
  <si>
    <t>Ⅶ 附属物</t>
    <rPh sb="2" eb="4">
      <t>フゾク</t>
    </rPh>
    <rPh sb="4" eb="5">
      <t>ブツ</t>
    </rPh>
    <phoneticPr fontId="6"/>
  </si>
  <si>
    <t>稀に発生する地震・暴風（損傷限界時）に対して最大応答変形角　1/120rad以下</t>
    <rPh sb="9" eb="11">
      <t>ボウフウ</t>
    </rPh>
    <phoneticPr fontId="1"/>
  </si>
  <si>
    <t>極めて稀に発生する地震・暴風（安全限界時）に対して最大応答変形角1/20rad以下</t>
    <rPh sb="12" eb="14">
      <t>ボウフウ</t>
    </rPh>
    <phoneticPr fontId="1"/>
  </si>
  <si>
    <t>C1</t>
    <phoneticPr fontId="1"/>
  </si>
  <si>
    <t>C2</t>
    <phoneticPr fontId="1"/>
  </si>
  <si>
    <t>kN/㎡</t>
    <phoneticPr fontId="1"/>
  </si>
  <si>
    <t>kN/m</t>
    <phoneticPr fontId="1"/>
  </si>
  <si>
    <t>A1</t>
    <phoneticPr fontId="1"/>
  </si>
  <si>
    <t>A2</t>
    <phoneticPr fontId="1"/>
  </si>
  <si>
    <t>数量</t>
    <rPh sb="0" eb="2">
      <t>スウリョウ</t>
    </rPh>
    <phoneticPr fontId="1"/>
  </si>
  <si>
    <t>H2</t>
    <phoneticPr fontId="1"/>
  </si>
  <si>
    <t>建物概要</t>
    <rPh sb="0" eb="2">
      <t>タテモノ</t>
    </rPh>
    <rPh sb="2" eb="4">
      <t>ガイヨウ</t>
    </rPh>
    <phoneticPr fontId="1"/>
  </si>
  <si>
    <t>建物名称</t>
    <rPh sb="0" eb="1">
      <t>タ</t>
    </rPh>
    <rPh sb="1" eb="2">
      <t>モノ</t>
    </rPh>
    <rPh sb="2" eb="4">
      <t>メイショウ</t>
    </rPh>
    <phoneticPr fontId="1"/>
  </si>
  <si>
    <t>建築場所</t>
    <rPh sb="0" eb="2">
      <t>ケンチク</t>
    </rPh>
    <rPh sb="2" eb="4">
      <t>バショ</t>
    </rPh>
    <phoneticPr fontId="1"/>
  </si>
  <si>
    <t>主要用途</t>
    <rPh sb="0" eb="2">
      <t>シュヨウ</t>
    </rPh>
    <rPh sb="2" eb="4">
      <t>ヨウト</t>
    </rPh>
    <phoneticPr fontId="1"/>
  </si>
  <si>
    <t>建築規模</t>
    <rPh sb="0" eb="2">
      <t>ケンチク</t>
    </rPh>
    <rPh sb="2" eb="4">
      <t>キボ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</si>
  <si>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</si>
  <si>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</si>
  <si>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</si>
  <si>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軒高</t>
    <rPh sb="0" eb="1">
      <t>ノキ</t>
    </rPh>
    <rPh sb="1" eb="2">
      <t>タカ</t>
    </rPh>
    <phoneticPr fontId="1"/>
  </si>
  <si>
    <t>ｍ</t>
    <phoneticPr fontId="1"/>
  </si>
  <si>
    <t>建物高さ</t>
    <rPh sb="0" eb="1">
      <t>タ</t>
    </rPh>
    <rPh sb="1" eb="2">
      <t>モノ</t>
    </rPh>
    <rPh sb="2" eb="3">
      <t>タカ</t>
    </rPh>
    <phoneticPr fontId="1"/>
  </si>
  <si>
    <t>建築面積</t>
    <rPh sb="0" eb="2">
      <t>ケンチク</t>
    </rPh>
    <rPh sb="2" eb="4">
      <t>メンセキ</t>
    </rPh>
    <phoneticPr fontId="1"/>
  </si>
  <si>
    <t>㎡</t>
    <phoneticPr fontId="1"/>
  </si>
  <si>
    <t>延床面積</t>
    <rPh sb="0" eb="2">
      <t>ノベユカ</t>
    </rPh>
    <rPh sb="2" eb="4">
      <t>メンセキ</t>
    </rPh>
    <phoneticPr fontId="1"/>
  </si>
  <si>
    <t>設計者</t>
    <rPh sb="0" eb="3">
      <t>セッケイシャ</t>
    </rPh>
    <phoneticPr fontId="1"/>
  </si>
  <si>
    <t>構造上の特徴</t>
    <rPh sb="0" eb="2">
      <t>コウゾウ</t>
    </rPh>
    <rPh sb="2" eb="3">
      <t>ウエ</t>
    </rPh>
    <rPh sb="4" eb="6">
      <t>トクチョウ</t>
    </rPh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</si>
  <si>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</si>
  <si>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</si>
  <si>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</si>
  <si>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</si>
  <si>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地盤補強は行わない。</t>
    <rPh sb="0" eb="2">
      <t>ジバン</t>
    </rPh>
    <rPh sb="2" eb="4">
      <t>ホキョウ</t>
    </rPh>
    <rPh sb="5" eb="6">
      <t>オコナ</t>
    </rPh>
    <phoneticPr fontId="1"/>
  </si>
  <si>
    <t>上端筋</t>
    <phoneticPr fontId="1"/>
  </si>
  <si>
    <t>その他</t>
    <phoneticPr fontId="1"/>
  </si>
  <si>
    <t>木材の基準強度</t>
    <rPh sb="0" eb="2">
      <t>モクザイ</t>
    </rPh>
    <rPh sb="3" eb="5">
      <t>キジュン</t>
    </rPh>
    <rPh sb="5" eb="7">
      <t>キョウド</t>
    </rPh>
    <phoneticPr fontId="1"/>
  </si>
  <si>
    <t>ヤング係数</t>
    <rPh sb="3" eb="5">
      <t>ケイスウ</t>
    </rPh>
    <phoneticPr fontId="1"/>
  </si>
  <si>
    <t>積載荷重</t>
    <rPh sb="0" eb="2">
      <t>セキサイ</t>
    </rPh>
    <rPh sb="2" eb="4">
      <t>カジュウ</t>
    </rPh>
    <phoneticPr fontId="1"/>
  </si>
  <si>
    <t>基礎</t>
    <rPh sb="0" eb="2">
      <t>キソ</t>
    </rPh>
    <phoneticPr fontId="1"/>
  </si>
  <si>
    <t>チェック項目</t>
    <rPh sb="4" eb="6">
      <t>コウモク</t>
    </rPh>
    <phoneticPr fontId="1"/>
  </si>
  <si>
    <t>土台形式</t>
    <rPh sb="0" eb="2">
      <t>ドダイ</t>
    </rPh>
    <rPh sb="2" eb="4">
      <t>ケイシキ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</si>
  <si>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</si>
  <si>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</si>
  <si>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基礎との緊結</t>
    <rPh sb="0" eb="2">
      <t>キソ</t>
    </rPh>
    <rPh sb="4" eb="5">
      <t>キン</t>
    </rPh>
    <rPh sb="5" eb="6">
      <t>ケツ</t>
    </rPh>
    <phoneticPr fontId="1"/>
  </si>
  <si>
    <t>上記以外</t>
    <rPh sb="0" eb="2">
      <t>ジョウキ</t>
    </rPh>
    <rPh sb="2" eb="4">
      <t>イガイ</t>
    </rPh>
    <phoneticPr fontId="1"/>
  </si>
  <si>
    <t>水平剛性</t>
    <rPh sb="0" eb="2">
      <t>スイヘイ</t>
    </rPh>
    <rPh sb="2" eb="4">
      <t>ゴウセイ</t>
    </rPh>
    <phoneticPr fontId="1"/>
  </si>
  <si>
    <t>耐風梁</t>
    <rPh sb="0" eb="2">
      <t>タイフウ</t>
    </rPh>
    <rPh sb="2" eb="3">
      <t>ハリ</t>
    </rPh>
    <phoneticPr fontId="1"/>
  </si>
  <si>
    <t>床組及び小屋ばり組の隅角に火打（構造用合板張等も含む）を設け、小屋組に振れ止めを設ける</t>
    <rPh sb="0" eb="1">
      <t>ユカ</t>
    </rPh>
    <rPh sb="1" eb="2">
      <t>クミ</t>
    </rPh>
    <rPh sb="2" eb="3">
      <t>オヨ</t>
    </rPh>
    <rPh sb="4" eb="6">
      <t>コヤ</t>
    </rPh>
    <rPh sb="8" eb="9">
      <t>クミ</t>
    </rPh>
    <rPh sb="10" eb="11">
      <t>スミ</t>
    </rPh>
    <rPh sb="11" eb="12">
      <t>カド</t>
    </rPh>
    <rPh sb="13" eb="14">
      <t>ヒ</t>
    </rPh>
    <rPh sb="14" eb="15">
      <t>ウ</t>
    </rPh>
    <rPh sb="16" eb="19">
      <t>コウゾウヨウ</t>
    </rPh>
    <rPh sb="19" eb="21">
      <t>ゴウバン</t>
    </rPh>
    <rPh sb="21" eb="22">
      <t>ハリ</t>
    </rPh>
    <rPh sb="22" eb="23">
      <t>トウ</t>
    </rPh>
    <rPh sb="24" eb="25">
      <t>フク</t>
    </rPh>
    <rPh sb="28" eb="29">
      <t>モウ</t>
    </rPh>
    <rPh sb="31" eb="33">
      <t>コヤ</t>
    </rPh>
    <rPh sb="33" eb="34">
      <t>クミ</t>
    </rPh>
    <rPh sb="35" eb="36">
      <t>フ</t>
    </rPh>
    <rPh sb="37" eb="38">
      <t>ト</t>
    </rPh>
    <rPh sb="40" eb="41">
      <t>モウ</t>
    </rPh>
    <phoneticPr fontId="1"/>
  </si>
  <si>
    <t>昭62年建告1889号に定める許容応力度計算を行う。</t>
    <rPh sb="0" eb="1">
      <t>アキラ</t>
    </rPh>
    <rPh sb="3" eb="4">
      <t>ネン</t>
    </rPh>
    <rPh sb="4" eb="5">
      <t>ケン</t>
    </rPh>
    <rPh sb="5" eb="6">
      <t>コク</t>
    </rPh>
    <rPh sb="10" eb="11">
      <t>ゴウ</t>
    </rPh>
    <rPh sb="12" eb="13">
      <t>サダ</t>
    </rPh>
    <rPh sb="15" eb="17">
      <t>キョヨウ</t>
    </rPh>
    <rPh sb="17" eb="19">
      <t>オウリョク</t>
    </rPh>
    <rPh sb="19" eb="20">
      <t>ド</t>
    </rPh>
    <rPh sb="20" eb="22">
      <t>ケイサン</t>
    </rPh>
    <rPh sb="23" eb="24">
      <t>オコナ</t>
    </rPh>
    <phoneticPr fontId="1"/>
  </si>
  <si>
    <t>柱頭・柱脚</t>
    <rPh sb="0" eb="2">
      <t>チュウトウ</t>
    </rPh>
    <rPh sb="3" eb="5">
      <t>チュウキャク</t>
    </rPh>
    <phoneticPr fontId="1"/>
  </si>
  <si>
    <t>風圧力に対する垂木の接合の検討</t>
    <rPh sb="0" eb="1">
      <t>フウ</t>
    </rPh>
    <rPh sb="1" eb="3">
      <t>アツリョク</t>
    </rPh>
    <rPh sb="4" eb="5">
      <t>タイ</t>
    </rPh>
    <rPh sb="7" eb="9">
      <t>タルキ</t>
    </rPh>
    <rPh sb="10" eb="12">
      <t>セツゴウ</t>
    </rPh>
    <rPh sb="13" eb="15">
      <t>ケントウ</t>
    </rPh>
    <phoneticPr fontId="1"/>
  </si>
  <si>
    <t>異形鉄筋</t>
    <rPh sb="0" eb="2">
      <t>イケイ</t>
    </rPh>
    <phoneticPr fontId="1"/>
  </si>
  <si>
    <t>垂直積雪量</t>
    <rPh sb="0" eb="2">
      <t>スイチョク</t>
    </rPh>
    <rPh sb="2" eb="4">
      <t>セキセツ</t>
    </rPh>
    <rPh sb="4" eb="5">
      <t>リョウ</t>
    </rPh>
    <phoneticPr fontId="1"/>
  </si>
  <si>
    <t>㎝</t>
    <phoneticPr fontId="1"/>
  </si>
  <si>
    <t>・積雪荷重</t>
    <rPh sb="1" eb="3">
      <t>セキセツ</t>
    </rPh>
    <rPh sb="3" eb="5">
      <t>カジュウ</t>
    </rPh>
    <phoneticPr fontId="1"/>
  </si>
  <si>
    <t>・風圧力の計算</t>
    <rPh sb="1" eb="2">
      <t>フウ</t>
    </rPh>
    <rPh sb="2" eb="4">
      <t>アツリョク</t>
    </rPh>
    <rPh sb="5" eb="6">
      <t>ケイ</t>
    </rPh>
    <rPh sb="6" eb="7">
      <t>サン</t>
    </rPh>
    <phoneticPr fontId="1"/>
  </si>
  <si>
    <t>地表面粗度区分</t>
    <rPh sb="0" eb="2">
      <t>チヒョウ</t>
    </rPh>
    <rPh sb="2" eb="3">
      <t>メン</t>
    </rPh>
    <rPh sb="3" eb="4">
      <t>ソ</t>
    </rPh>
    <rPh sb="4" eb="5">
      <t>ド</t>
    </rPh>
    <rPh sb="5" eb="7">
      <t>クブン</t>
    </rPh>
    <phoneticPr fontId="1"/>
  </si>
  <si>
    <t>m/s</t>
    <phoneticPr fontId="1"/>
  </si>
  <si>
    <t>・地震地域係数</t>
    <rPh sb="1" eb="3">
      <t>ジシン</t>
    </rPh>
    <rPh sb="3" eb="5">
      <t>チイキ</t>
    </rPh>
    <rPh sb="5" eb="7">
      <t>ケイスウ</t>
    </rPh>
    <phoneticPr fontId="1"/>
  </si>
  <si>
    <t>風速Vo＝</t>
    <rPh sb="0" eb="2">
      <t>フウソク</t>
    </rPh>
    <phoneticPr fontId="1"/>
  </si>
  <si>
    <t>Z＝</t>
    <phoneticPr fontId="1"/>
  </si>
  <si>
    <t>許容地耐力</t>
    <rPh sb="0" eb="2">
      <t>キョヨウ</t>
    </rPh>
    <rPh sb="2" eb="3">
      <t>チ</t>
    </rPh>
    <rPh sb="3" eb="5">
      <t>タイリョク</t>
    </rPh>
    <phoneticPr fontId="1"/>
  </si>
  <si>
    <t>・地盤</t>
    <rPh sb="1" eb="3">
      <t>ジバン</t>
    </rPh>
    <phoneticPr fontId="1"/>
  </si>
  <si>
    <t>地盤種別</t>
    <rPh sb="0" eb="2">
      <t>ジバン</t>
    </rPh>
    <rPh sb="2" eb="4">
      <t>シュベツ</t>
    </rPh>
    <phoneticPr fontId="1"/>
  </si>
  <si>
    <t>木材</t>
    <rPh sb="0" eb="2">
      <t>モクザイ</t>
    </rPh>
    <phoneticPr fontId="1"/>
  </si>
  <si>
    <t>名称</t>
    <rPh sb="0" eb="2">
      <t>メイショウ</t>
    </rPh>
    <phoneticPr fontId="1"/>
  </si>
  <si>
    <t>断面</t>
    <rPh sb="0" eb="2">
      <t>ダンメン</t>
    </rPh>
    <phoneticPr fontId="1"/>
  </si>
  <si>
    <t>材種</t>
    <rPh sb="0" eb="1">
      <t>ザイ</t>
    </rPh>
    <rPh sb="1" eb="2">
      <t>シュ</t>
    </rPh>
    <phoneticPr fontId="1"/>
  </si>
  <si>
    <t>等級</t>
    <rPh sb="0" eb="2">
      <t>トウキュウ</t>
    </rPh>
    <phoneticPr fontId="1"/>
  </si>
  <si>
    <t>管柱</t>
    <rPh sb="0" eb="1">
      <t>クダ</t>
    </rPh>
    <rPh sb="1" eb="2">
      <t>ハシラ</t>
    </rPh>
    <phoneticPr fontId="1"/>
  </si>
  <si>
    <t>柱頭・柱脚の接合方法</t>
    <rPh sb="0" eb="2">
      <t>チュウトウ</t>
    </rPh>
    <rPh sb="3" eb="5">
      <t>チュウキャク</t>
    </rPh>
    <rPh sb="6" eb="8">
      <t>セツゴウ</t>
    </rPh>
    <rPh sb="8" eb="10">
      <t>ホウホウ</t>
    </rPh>
    <phoneticPr fontId="1"/>
  </si>
  <si>
    <t>部位</t>
    <rPh sb="0" eb="2">
      <t>ブイ</t>
    </rPh>
    <phoneticPr fontId="1"/>
  </si>
  <si>
    <t>面材の種類</t>
    <rPh sb="0" eb="2">
      <t>メンザイ</t>
    </rPh>
    <rPh sb="3" eb="5">
      <t>シュルイ</t>
    </rPh>
    <phoneticPr fontId="1"/>
  </si>
  <si>
    <t>面材釘打ち仕様</t>
    <rPh sb="0" eb="2">
      <t>メンザイ</t>
    </rPh>
    <rPh sb="2" eb="3">
      <t>クギ</t>
    </rPh>
    <rPh sb="3" eb="4">
      <t>ウ</t>
    </rPh>
    <rPh sb="5" eb="7">
      <t>シヨウ</t>
    </rPh>
    <phoneticPr fontId="1"/>
  </si>
  <si>
    <t>場所</t>
    <rPh sb="0" eb="2">
      <t>バショ</t>
    </rPh>
    <phoneticPr fontId="1"/>
  </si>
  <si>
    <t>床水平構面仕様</t>
    <rPh sb="0" eb="1">
      <t>ユカ</t>
    </rPh>
    <rPh sb="1" eb="3">
      <t>スイヘイ</t>
    </rPh>
    <rPh sb="3" eb="5">
      <t>コウメン</t>
    </rPh>
    <rPh sb="5" eb="7">
      <t>シヨウ</t>
    </rPh>
    <phoneticPr fontId="1"/>
  </si>
  <si>
    <t>勾配屋根水平構面仕様</t>
    <rPh sb="0" eb="2">
      <t>コウバイ</t>
    </rPh>
    <rPh sb="2" eb="3">
      <t>ヤ</t>
    </rPh>
    <rPh sb="3" eb="4">
      <t>ネ</t>
    </rPh>
    <rPh sb="4" eb="6">
      <t>スイヘイ</t>
    </rPh>
    <rPh sb="6" eb="8">
      <t>コウメン</t>
    </rPh>
    <rPh sb="8" eb="10">
      <t>シヨウ</t>
    </rPh>
    <phoneticPr fontId="1"/>
  </si>
  <si>
    <t>その他</t>
    <rPh sb="2" eb="3">
      <t>タ</t>
    </rPh>
    <phoneticPr fontId="1"/>
  </si>
  <si>
    <t>荷重(kN)</t>
    <rPh sb="0" eb="2">
      <t>カジュウ</t>
    </rPh>
    <phoneticPr fontId="1"/>
  </si>
  <si>
    <t>1階床荷重 W0</t>
    <rPh sb="1" eb="2">
      <t>カイ</t>
    </rPh>
    <rPh sb="2" eb="3">
      <t>ユカ</t>
    </rPh>
    <rPh sb="3" eb="5">
      <t>カジュウ</t>
    </rPh>
    <phoneticPr fontId="6"/>
  </si>
  <si>
    <t>2階荷重   W2</t>
    <rPh sb="1" eb="2">
      <t>カイ</t>
    </rPh>
    <rPh sb="2" eb="4">
      <t>カジュウ</t>
    </rPh>
    <phoneticPr fontId="6"/>
  </si>
  <si>
    <t>1階荷重   W1</t>
    <rPh sb="1" eb="2">
      <t>カイ</t>
    </rPh>
    <rPh sb="2" eb="4">
      <t>カジュウ</t>
    </rPh>
    <phoneticPr fontId="6"/>
  </si>
  <si>
    <t>形状</t>
    <rPh sb="0" eb="2">
      <t>ケイジョウ</t>
    </rPh>
    <phoneticPr fontId="1"/>
  </si>
  <si>
    <t>スラブ筋</t>
    <rPh sb="3" eb="4">
      <t>キン</t>
    </rPh>
    <phoneticPr fontId="1"/>
  </si>
  <si>
    <t>基礎梁</t>
    <rPh sb="0" eb="2">
      <t>キソ</t>
    </rPh>
    <rPh sb="2" eb="3">
      <t>ハリ</t>
    </rPh>
    <phoneticPr fontId="1"/>
  </si>
  <si>
    <t>成(㎜）</t>
    <rPh sb="0" eb="1">
      <t>セイ</t>
    </rPh>
    <phoneticPr fontId="1"/>
  </si>
  <si>
    <t>幅(㎜）</t>
    <rPh sb="0" eb="1">
      <t>ハバ</t>
    </rPh>
    <phoneticPr fontId="1"/>
  </si>
  <si>
    <t>厚み(㎜)</t>
    <rPh sb="0" eb="1">
      <t>アツ</t>
    </rPh>
    <phoneticPr fontId="1"/>
  </si>
  <si>
    <t>軒先及び垂木の接合</t>
    <rPh sb="0" eb="2">
      <t>ノキサキ</t>
    </rPh>
    <rPh sb="2" eb="3">
      <t>オヨ</t>
    </rPh>
    <rPh sb="4" eb="6">
      <t>タルキ</t>
    </rPh>
    <rPh sb="7" eb="9">
      <t>セツゴウ</t>
    </rPh>
    <phoneticPr fontId="1"/>
  </si>
  <si>
    <t>接合方法</t>
    <rPh sb="0" eb="2">
      <t>セツゴウ</t>
    </rPh>
    <rPh sb="2" eb="4">
      <t>ホウホウ</t>
    </rPh>
    <phoneticPr fontId="1"/>
  </si>
  <si>
    <t>軒の出(㎜)</t>
    <rPh sb="0" eb="1">
      <t>ノキ</t>
    </rPh>
    <rPh sb="2" eb="3">
      <t>デ</t>
    </rPh>
    <phoneticPr fontId="1"/>
  </si>
  <si>
    <t>建物の主な材料と仕様</t>
    <rPh sb="0" eb="2">
      <t>タテモノ</t>
    </rPh>
    <rPh sb="3" eb="4">
      <t>オモ</t>
    </rPh>
    <rPh sb="5" eb="7">
      <t>ザイリョウ</t>
    </rPh>
    <rPh sb="8" eb="10">
      <t>シヨウ</t>
    </rPh>
    <phoneticPr fontId="1"/>
  </si>
  <si>
    <t>4.1</t>
    <phoneticPr fontId="1"/>
  </si>
  <si>
    <t>4.2</t>
    <phoneticPr fontId="1"/>
  </si>
  <si>
    <t>耐力表</t>
    <rPh sb="0" eb="2">
      <t>タイリョク</t>
    </rPh>
    <rPh sb="2" eb="3">
      <t>ヒョウ</t>
    </rPh>
    <phoneticPr fontId="1"/>
  </si>
  <si>
    <t>実況に応じた荷重</t>
    <rPh sb="0" eb="2">
      <t>ジッキョウ</t>
    </rPh>
    <rPh sb="3" eb="4">
      <t>オウ</t>
    </rPh>
    <rPh sb="6" eb="8">
      <t>カジュウ</t>
    </rPh>
    <phoneticPr fontId="1"/>
  </si>
  <si>
    <t>よって、</t>
    <phoneticPr fontId="1"/>
  </si>
  <si>
    <t>以上より</t>
    <rPh sb="0" eb="2">
      <t>イジョウ</t>
    </rPh>
    <phoneticPr fontId="1"/>
  </si>
  <si>
    <t>柱と基礎を水平方向及び上下方向ともに拘束しない場合</t>
    <rPh sb="0" eb="1">
      <t>ハシラ</t>
    </rPh>
    <rPh sb="2" eb="4">
      <t>キソ</t>
    </rPh>
    <rPh sb="5" eb="7">
      <t>スイヘイ</t>
    </rPh>
    <rPh sb="7" eb="9">
      <t>ホウコウ</t>
    </rPh>
    <rPh sb="9" eb="10">
      <t>オヨ</t>
    </rPh>
    <rPh sb="11" eb="13">
      <t>ジョウゲ</t>
    </rPh>
    <rPh sb="13" eb="15">
      <t>ホウコウ</t>
    </rPh>
    <rPh sb="18" eb="20">
      <t>コウソク</t>
    </rPh>
    <rPh sb="23" eb="25">
      <t>バアイ</t>
    </rPh>
    <phoneticPr fontId="1"/>
  </si>
  <si>
    <t>前提条件</t>
    <rPh sb="0" eb="2">
      <t>ゼンテイ</t>
    </rPh>
    <rPh sb="2" eb="4">
      <t>ジョウケン</t>
    </rPh>
    <phoneticPr fontId="1"/>
  </si>
  <si>
    <t>柱脚がバラバラに挙動しないようにする。</t>
    <rPh sb="0" eb="2">
      <t>チュウキャク</t>
    </rPh>
    <rPh sb="8" eb="10">
      <t>キョドウ</t>
    </rPh>
    <phoneticPr fontId="1"/>
  </si>
  <si>
    <t>滑っても基礎よりはみ出さない工夫を行う。</t>
    <rPh sb="0" eb="1">
      <t>スベ</t>
    </rPh>
    <rPh sb="4" eb="6">
      <t>キソ</t>
    </rPh>
    <rPh sb="10" eb="11">
      <t>ダ</t>
    </rPh>
    <rPh sb="14" eb="16">
      <t>クフウ</t>
    </rPh>
    <rPh sb="17" eb="18">
      <t>オコナ</t>
    </rPh>
    <phoneticPr fontId="1"/>
  </si>
  <si>
    <t>対策</t>
    <rPh sb="0" eb="2">
      <t>タイサク</t>
    </rPh>
    <phoneticPr fontId="1"/>
  </si>
  <si>
    <t>・前提条件</t>
    <rPh sb="1" eb="3">
      <t>ゼンテイ</t>
    </rPh>
    <rPh sb="3" eb="5">
      <t>ジョウケン</t>
    </rPh>
    <phoneticPr fontId="1"/>
  </si>
  <si>
    <t>総荷重</t>
    <rPh sb="0" eb="1">
      <t>ソウ</t>
    </rPh>
    <rPh sb="1" eb="3">
      <t>カジュウ</t>
    </rPh>
    <phoneticPr fontId="1"/>
  </si>
  <si>
    <t>C1補正</t>
    <phoneticPr fontId="1"/>
  </si>
  <si>
    <t>C2補正</t>
    <phoneticPr fontId="1"/>
  </si>
  <si>
    <t>2.7ｍ以下</t>
    <rPh sb="4" eb="6">
      <t>イカ</t>
    </rPh>
    <phoneticPr fontId="1"/>
  </si>
  <si>
    <t>住宅の居室程度</t>
    <rPh sb="0" eb="2">
      <t>ジュウタク</t>
    </rPh>
    <rPh sb="3" eb="5">
      <t>キョシツ</t>
    </rPh>
    <rPh sb="5" eb="7">
      <t>テイド</t>
    </rPh>
    <phoneticPr fontId="1"/>
  </si>
  <si>
    <t>H2！</t>
    <phoneticPr fontId="1"/>
  </si>
  <si>
    <t>D1！</t>
    <phoneticPr fontId="1"/>
  </si>
  <si>
    <t>A1+Y1+B1+C2+C1+H2！+Z1</t>
    <phoneticPr fontId="1"/>
  </si>
  <si>
    <t>C1+D1！</t>
    <phoneticPr fontId="1"/>
  </si>
  <si>
    <t>本建物は、くまもと型伝統構法を用いた木造建築物とする。</t>
    <rPh sb="0" eb="1">
      <t>ホン</t>
    </rPh>
    <rPh sb="1" eb="3">
      <t>タテモノ</t>
    </rPh>
    <rPh sb="9" eb="10">
      <t>ガタ</t>
    </rPh>
    <rPh sb="10" eb="12">
      <t>デントウ</t>
    </rPh>
    <rPh sb="12" eb="14">
      <t>コウホウ</t>
    </rPh>
    <rPh sb="15" eb="16">
      <t>モチ</t>
    </rPh>
    <rPh sb="18" eb="20">
      <t>モクゾウ</t>
    </rPh>
    <rPh sb="20" eb="22">
      <t>ケンチク</t>
    </rPh>
    <rPh sb="22" eb="23">
      <t>ブツ</t>
    </rPh>
    <phoneticPr fontId="1"/>
  </si>
  <si>
    <t>材料</t>
    <rPh sb="0" eb="2">
      <t>ザイリョウ</t>
    </rPh>
    <phoneticPr fontId="1"/>
  </si>
  <si>
    <t>構造計算書</t>
    <rPh sb="0" eb="2">
      <t>コウゾウ</t>
    </rPh>
    <rPh sb="2" eb="5">
      <t>ケイサンショ</t>
    </rPh>
    <phoneticPr fontId="1"/>
  </si>
  <si>
    <t>熊本県熊本市</t>
    <rPh sb="0" eb="3">
      <t>クマモトケン</t>
    </rPh>
    <rPh sb="3" eb="6">
      <t>クマモトシ</t>
    </rPh>
    <phoneticPr fontId="1"/>
  </si>
  <si>
    <t>専用住宅</t>
    <rPh sb="0" eb="2">
      <t>センヨウ</t>
    </rPh>
    <rPh sb="2" eb="4">
      <t>ジュウタク</t>
    </rPh>
    <phoneticPr fontId="1"/>
  </si>
  <si>
    <t>敷地は平たんで、地盤補強はなく、擁壁・地下室はない。</t>
    <rPh sb="0" eb="2">
      <t>シキチ</t>
    </rPh>
    <rPh sb="3" eb="4">
      <t>ヘイ</t>
    </rPh>
    <rPh sb="8" eb="10">
      <t>ジバン</t>
    </rPh>
    <rPh sb="10" eb="12">
      <t>ホキョウ</t>
    </rPh>
    <rPh sb="16" eb="18">
      <t>ヨウヘキ</t>
    </rPh>
    <rPh sb="19" eb="22">
      <t>チカシツ</t>
    </rPh>
    <phoneticPr fontId="1"/>
  </si>
  <si>
    <t>大引</t>
    <rPh sb="0" eb="1">
      <t>オオ</t>
    </rPh>
    <rPh sb="1" eb="2">
      <t>ビ</t>
    </rPh>
    <phoneticPr fontId="1"/>
  </si>
  <si>
    <t>基礎の検討</t>
    <rPh sb="0" eb="2">
      <t>キソ</t>
    </rPh>
    <rPh sb="3" eb="5">
      <t>ケントウ</t>
    </rPh>
    <phoneticPr fontId="1"/>
  </si>
  <si>
    <t>梁の検討</t>
    <rPh sb="0" eb="1">
      <t>ハリ</t>
    </rPh>
    <rPh sb="2" eb="4">
      <t>ケントウ</t>
    </rPh>
    <phoneticPr fontId="1"/>
  </si>
  <si>
    <t>§1.構造計算概要書</t>
    <rPh sb="3" eb="5">
      <t>コウゾウ</t>
    </rPh>
    <rPh sb="5" eb="7">
      <t>ケイサン</t>
    </rPh>
    <rPh sb="7" eb="10">
      <t>ガイヨウショ</t>
    </rPh>
    <phoneticPr fontId="1"/>
  </si>
  <si>
    <t>1.7</t>
    <phoneticPr fontId="1"/>
  </si>
  <si>
    <t>1.8</t>
    <phoneticPr fontId="1"/>
  </si>
  <si>
    <t>総合所見</t>
    <rPh sb="0" eb="2">
      <t>ソウゴウ</t>
    </rPh>
    <rPh sb="2" eb="4">
      <t>ショケン</t>
    </rPh>
    <phoneticPr fontId="1"/>
  </si>
  <si>
    <t>2次部材の検討</t>
    <rPh sb="1" eb="2">
      <t>ジ</t>
    </rPh>
    <rPh sb="2" eb="4">
      <t>ブザイ</t>
    </rPh>
    <rPh sb="5" eb="7">
      <t>ケントウ</t>
    </rPh>
    <phoneticPr fontId="1"/>
  </si>
  <si>
    <t>2.1</t>
    <phoneticPr fontId="1"/>
  </si>
  <si>
    <t>2.2</t>
    <phoneticPr fontId="1"/>
  </si>
  <si>
    <t>2.3</t>
    <phoneticPr fontId="1"/>
  </si>
  <si>
    <t>3.1</t>
    <phoneticPr fontId="1"/>
  </si>
  <si>
    <t>3.2</t>
    <phoneticPr fontId="1"/>
  </si>
  <si>
    <t>3.3</t>
    <phoneticPr fontId="1"/>
  </si>
  <si>
    <t>3.4</t>
    <phoneticPr fontId="1"/>
  </si>
  <si>
    <t>3.5</t>
    <phoneticPr fontId="1"/>
  </si>
  <si>
    <t>§2.構造計算書（個別計算）</t>
    <rPh sb="3" eb="5">
      <t>コウゾウ</t>
    </rPh>
    <rPh sb="5" eb="8">
      <t>ケイサンショ</t>
    </rPh>
    <rPh sb="9" eb="11">
      <t>コベツ</t>
    </rPh>
    <rPh sb="11" eb="13">
      <t>ケイサン</t>
    </rPh>
    <phoneticPr fontId="1"/>
  </si>
  <si>
    <t>§4.添付資料</t>
    <rPh sb="3" eb="5">
      <t>テンプ</t>
    </rPh>
    <rPh sb="5" eb="7">
      <t>シリョウ</t>
    </rPh>
    <phoneticPr fontId="1"/>
  </si>
  <si>
    <t>§3.構造計算書（限界耐力計算）</t>
    <rPh sb="3" eb="5">
      <t>コウゾウ</t>
    </rPh>
    <rPh sb="5" eb="8">
      <t>ケイサンショ</t>
    </rPh>
    <rPh sb="9" eb="11">
      <t>ゲンカイ</t>
    </rPh>
    <rPh sb="11" eb="13">
      <t>タイリョク</t>
    </rPh>
    <rPh sb="13" eb="15">
      <t>ケイサン</t>
    </rPh>
    <phoneticPr fontId="1"/>
  </si>
  <si>
    <t>屋根葺き材の資料</t>
    <rPh sb="0" eb="1">
      <t>ヤ</t>
    </rPh>
    <rPh sb="1" eb="2">
      <t>ネ</t>
    </rPh>
    <rPh sb="2" eb="3">
      <t>フ</t>
    </rPh>
    <rPh sb="4" eb="5">
      <t>ザイ</t>
    </rPh>
    <rPh sb="6" eb="8">
      <t>シリョウ</t>
    </rPh>
    <phoneticPr fontId="1"/>
  </si>
  <si>
    <t>風荷重時の確認</t>
    <rPh sb="0" eb="1">
      <t>カゼ</t>
    </rPh>
    <rPh sb="1" eb="3">
      <t>カジュウ</t>
    </rPh>
    <rPh sb="3" eb="4">
      <t>トキ</t>
    </rPh>
    <rPh sb="5" eb="7">
      <t>カクニン</t>
    </rPh>
    <phoneticPr fontId="1"/>
  </si>
  <si>
    <t>地震時増分解析の確認</t>
    <rPh sb="0" eb="2">
      <t>ジシン</t>
    </rPh>
    <rPh sb="2" eb="3">
      <t>トキ</t>
    </rPh>
    <rPh sb="3" eb="5">
      <t>ゾウブン</t>
    </rPh>
    <rPh sb="5" eb="7">
      <t>カイセキ</t>
    </rPh>
    <rPh sb="8" eb="10">
      <t>カクニン</t>
    </rPh>
    <phoneticPr fontId="1"/>
  </si>
  <si>
    <t>偏心率・剛性率</t>
    <rPh sb="0" eb="2">
      <t>ヘンシン</t>
    </rPh>
    <rPh sb="2" eb="3">
      <t>リツ</t>
    </rPh>
    <rPh sb="4" eb="6">
      <t>ゴウセイ</t>
    </rPh>
    <rPh sb="6" eb="7">
      <t>リツ</t>
    </rPh>
    <phoneticPr fontId="1"/>
  </si>
  <si>
    <t>計算モデル</t>
    <rPh sb="0" eb="2">
      <t>ケイサン</t>
    </rPh>
    <phoneticPr fontId="1"/>
  </si>
  <si>
    <t>〇　〇　〇　〇　〇</t>
    <phoneticPr fontId="1"/>
  </si>
  <si>
    <t>構造計算方針</t>
    <rPh sb="0" eb="2">
      <t>コウゾウ</t>
    </rPh>
    <rPh sb="2" eb="4">
      <t>ケイサン</t>
    </rPh>
    <rPh sb="4" eb="6">
      <t>ホウシン</t>
    </rPh>
    <phoneticPr fontId="1"/>
  </si>
  <si>
    <t>補足検討</t>
    <rPh sb="0" eb="2">
      <t>ホソク</t>
    </rPh>
    <rPh sb="2" eb="4">
      <t>ケントウ</t>
    </rPh>
    <phoneticPr fontId="1"/>
  </si>
  <si>
    <t>図面の「1,2,3・・・」通りをX通り、「い、ろ、は・・・」通りをY通りとする。</t>
    <rPh sb="0" eb="2">
      <t>ズメン</t>
    </rPh>
    <rPh sb="13" eb="14">
      <t>トオ</t>
    </rPh>
    <rPh sb="17" eb="18">
      <t>トオ</t>
    </rPh>
    <rPh sb="30" eb="31">
      <t>トオ</t>
    </rPh>
    <rPh sb="34" eb="35">
      <t>トオ</t>
    </rPh>
    <phoneticPr fontId="1"/>
  </si>
  <si>
    <t>　</t>
    <phoneticPr fontId="1"/>
  </si>
  <si>
    <t>・柱脚の検討</t>
    <rPh sb="1" eb="3">
      <t>チュウキャク</t>
    </rPh>
    <rPh sb="4" eb="6">
      <t>ケントウ</t>
    </rPh>
    <phoneticPr fontId="1"/>
  </si>
  <si>
    <t>4.3</t>
  </si>
  <si>
    <t>採用</t>
    <rPh sb="0" eb="2">
      <t>サイヨウ</t>
    </rPh>
    <phoneticPr fontId="1"/>
  </si>
  <si>
    <t>荷重詳細と単位荷重</t>
    <rPh sb="0" eb="2">
      <t>カジュウ</t>
    </rPh>
    <rPh sb="2" eb="4">
      <t>ショウサイ</t>
    </rPh>
    <rPh sb="5" eb="7">
      <t>タンイ</t>
    </rPh>
    <rPh sb="7" eb="9">
      <t>カジュウ</t>
    </rPh>
    <phoneticPr fontId="1"/>
  </si>
  <si>
    <t>高さ補正</t>
    <rPh sb="0" eb="1">
      <t>タカ</t>
    </rPh>
    <rPh sb="2" eb="4">
      <t>ホセイ</t>
    </rPh>
    <phoneticPr fontId="1"/>
  </si>
  <si>
    <t>Ⅱ 小屋組・天井 + Ⅵ 1階内壁</t>
    <rPh sb="2" eb="4">
      <t>コヤ</t>
    </rPh>
    <rPh sb="4" eb="5">
      <t>グ</t>
    </rPh>
    <rPh sb="6" eb="8">
      <t>テンジョウ</t>
    </rPh>
    <rPh sb="14" eb="15">
      <t>カイ</t>
    </rPh>
    <rPh sb="15" eb="17">
      <t>ナイヘキ</t>
    </rPh>
    <rPh sb="16" eb="17">
      <t>カベ</t>
    </rPh>
    <phoneticPr fontId="6"/>
  </si>
  <si>
    <t>Ⅱ 小屋組・天井 + Ⅵ 2階内壁</t>
    <rPh sb="2" eb="4">
      <t>コヤ</t>
    </rPh>
    <rPh sb="4" eb="5">
      <t>グ</t>
    </rPh>
    <rPh sb="6" eb="8">
      <t>テンジョウ</t>
    </rPh>
    <rPh sb="14" eb="15">
      <t>カイ</t>
    </rPh>
    <rPh sb="15" eb="17">
      <t>ナイヘキ</t>
    </rPh>
    <rPh sb="16" eb="17">
      <t>カベ</t>
    </rPh>
    <phoneticPr fontId="6"/>
  </si>
  <si>
    <t>Ⅳ 1階外壁</t>
    <rPh sb="3" eb="4">
      <t>カイ</t>
    </rPh>
    <rPh sb="4" eb="6">
      <t>ガイヘキ</t>
    </rPh>
    <phoneticPr fontId="1"/>
  </si>
  <si>
    <t>Ⅳ 2階外壁</t>
    <rPh sb="3" eb="4">
      <t>カイ</t>
    </rPh>
    <rPh sb="4" eb="6">
      <t>ガイヘキ</t>
    </rPh>
    <phoneticPr fontId="1"/>
  </si>
  <si>
    <t>Ⅲ 2階床+ Ⅵ 1階内壁 + Ⅵ 2階内壁+ Ⅸ 2階積載荷重</t>
    <rPh sb="3" eb="4">
      <t>カイ</t>
    </rPh>
    <rPh sb="4" eb="5">
      <t>ユカ</t>
    </rPh>
    <phoneticPr fontId="6"/>
  </si>
  <si>
    <t>Ⅴ 1階やぎり</t>
    <rPh sb="3" eb="4">
      <t>カイ</t>
    </rPh>
    <phoneticPr fontId="1"/>
  </si>
  <si>
    <t>Ⅴ 2階やぎり</t>
    <rPh sb="3" eb="4">
      <t>カイ</t>
    </rPh>
    <phoneticPr fontId="1"/>
  </si>
  <si>
    <t>Ⅷ 1階床 + Ⅵ 1階内壁 + Ⅸ 1階積載荷重</t>
    <rPh sb="3" eb="4">
      <t>カイ</t>
    </rPh>
    <rPh sb="4" eb="5">
      <t>ユカ</t>
    </rPh>
    <phoneticPr fontId="6"/>
  </si>
  <si>
    <t>固定荷重と求積図より</t>
    <rPh sb="0" eb="2">
      <t>コテイ</t>
    </rPh>
    <rPh sb="2" eb="4">
      <t>カジュウ</t>
    </rPh>
    <rPh sb="5" eb="6">
      <t>モト</t>
    </rPh>
    <rPh sb="6" eb="7">
      <t>セキ</t>
    </rPh>
    <rPh sb="7" eb="8">
      <t>ズ</t>
    </rPh>
    <phoneticPr fontId="1"/>
  </si>
  <si>
    <t>項目</t>
    <rPh sb="0" eb="2">
      <t>コウモク</t>
    </rPh>
    <phoneticPr fontId="1"/>
  </si>
  <si>
    <t>適用範囲</t>
    <rPh sb="0" eb="2">
      <t>テキヨウ</t>
    </rPh>
    <rPh sb="2" eb="4">
      <t>ハンイ</t>
    </rPh>
    <phoneticPr fontId="1"/>
  </si>
  <si>
    <t>工法・種別</t>
    <rPh sb="0" eb="2">
      <t>コウホウ</t>
    </rPh>
    <rPh sb="3" eb="5">
      <t>シュベツ</t>
    </rPh>
    <phoneticPr fontId="1"/>
  </si>
  <si>
    <t>くまもと型設計法</t>
    <phoneticPr fontId="1"/>
  </si>
  <si>
    <t>地盤調査の結果より、第２種地盤と判断し、構造計算を行う。</t>
    <rPh sb="20" eb="22">
      <t>コウゾウ</t>
    </rPh>
    <rPh sb="22" eb="24">
      <t>ケイサン</t>
    </rPh>
    <phoneticPr fontId="1"/>
  </si>
  <si>
    <t>復元力特性</t>
    <rPh sb="0" eb="3">
      <t>フクゲンリョク</t>
    </rPh>
    <rPh sb="3" eb="5">
      <t>トクセイ</t>
    </rPh>
    <phoneticPr fontId="1"/>
  </si>
  <si>
    <t>種別</t>
    <rPh sb="0" eb="2">
      <t>シュベツ</t>
    </rPh>
    <phoneticPr fontId="1"/>
  </si>
  <si>
    <t>長ほぞ</t>
    <rPh sb="0" eb="1">
      <t>ナガ</t>
    </rPh>
    <phoneticPr fontId="1"/>
  </si>
  <si>
    <t>復元力（kN)</t>
    <rPh sb="0" eb="3">
      <t>フクゲンリョク</t>
    </rPh>
    <phoneticPr fontId="1"/>
  </si>
  <si>
    <t>各要素の設計法</t>
    <rPh sb="0" eb="3">
      <t>カクヨウソ</t>
    </rPh>
    <rPh sb="4" eb="7">
      <t>セッケイホウ</t>
    </rPh>
    <phoneticPr fontId="1"/>
  </si>
  <si>
    <t>2-</t>
    <phoneticPr fontId="1"/>
  </si>
  <si>
    <t>備考</t>
    <rPh sb="0" eb="2">
      <t>ビコウ</t>
    </rPh>
    <phoneticPr fontId="1"/>
  </si>
  <si>
    <t>1/120 rad</t>
    <phoneticPr fontId="1"/>
  </si>
  <si>
    <t>1/20 rad</t>
    <phoneticPr fontId="1"/>
  </si>
  <si>
    <t>□</t>
  </si>
  <si>
    <t>適</t>
    <rPh sb="0" eb="1">
      <t>テキ</t>
    </rPh>
    <phoneticPr fontId="1"/>
  </si>
  <si>
    <t>否</t>
    <rPh sb="0" eb="1">
      <t>イナ</t>
    </rPh>
    <phoneticPr fontId="1"/>
  </si>
  <si>
    <t>外力</t>
    <rPh sb="0" eb="2">
      <t>ガイリョク</t>
    </rPh>
    <phoneticPr fontId="1"/>
  </si>
  <si>
    <t>荷重</t>
    <rPh sb="0" eb="2">
      <t>カジュウ</t>
    </rPh>
    <phoneticPr fontId="1"/>
  </si>
  <si>
    <t>§1.　構造計算概要書</t>
    <rPh sb="4" eb="6">
      <t>コウゾウ</t>
    </rPh>
    <rPh sb="6" eb="8">
      <t>ケイサン</t>
    </rPh>
    <rPh sb="8" eb="11">
      <t>ガイヨウショ</t>
    </rPh>
    <phoneticPr fontId="1"/>
  </si>
  <si>
    <t>左記以外</t>
    <rPh sb="0" eb="1">
      <t>ヒダリ</t>
    </rPh>
    <rPh sb="1" eb="2">
      <t>キ</t>
    </rPh>
    <rPh sb="2" eb="4">
      <t>イガイ</t>
    </rPh>
    <phoneticPr fontId="1"/>
  </si>
  <si>
    <t>規模</t>
    <rPh sb="0" eb="2">
      <t>キボ</t>
    </rPh>
    <phoneticPr fontId="1"/>
  </si>
  <si>
    <t>階数2以下、延床面積500㎡以下</t>
    <rPh sb="0" eb="2">
      <t>カイスウ</t>
    </rPh>
    <rPh sb="3" eb="5">
      <t>イカ</t>
    </rPh>
    <rPh sb="6" eb="7">
      <t>ノ</t>
    </rPh>
    <rPh sb="7" eb="8">
      <t>ユカ</t>
    </rPh>
    <rPh sb="8" eb="10">
      <t>メンセキ</t>
    </rPh>
    <phoneticPr fontId="1"/>
  </si>
  <si>
    <t>最高高さ10ｍ以下、軒高さ7ｍ以下</t>
    <rPh sb="0" eb="2">
      <t>サイコウ</t>
    </rPh>
    <rPh sb="2" eb="3">
      <t>タカ</t>
    </rPh>
    <rPh sb="7" eb="9">
      <t>イカ</t>
    </rPh>
    <rPh sb="10" eb="11">
      <t>ノキ</t>
    </rPh>
    <rPh sb="11" eb="12">
      <t>タカ</t>
    </rPh>
    <phoneticPr fontId="1"/>
  </si>
  <si>
    <t>[地震力に対して建築物が水平移動しない検討]</t>
    <phoneticPr fontId="1"/>
  </si>
  <si>
    <t>[風圧力に対して建築物が水平移動しない検討]</t>
  </si>
  <si>
    <t>Fo＝</t>
    <phoneticPr fontId="1"/>
  </si>
  <si>
    <t>1.6Pw＝</t>
    <phoneticPr fontId="1"/>
  </si>
  <si>
    <t>1.1　建物概要</t>
    <phoneticPr fontId="1"/>
  </si>
  <si>
    <t>1.2　構造上の特徴</t>
    <phoneticPr fontId="1"/>
  </si>
  <si>
    <t>1.3　構造計算方針</t>
    <phoneticPr fontId="1"/>
  </si>
  <si>
    <t>1.4　使用材料と許容応力度</t>
    <phoneticPr fontId="1"/>
  </si>
  <si>
    <t>1.6　チェック項目</t>
    <phoneticPr fontId="1"/>
  </si>
  <si>
    <t>1.7　建物の主な材料と仕様</t>
    <phoneticPr fontId="1"/>
  </si>
  <si>
    <t>「くまもと型設計法」適用チェック</t>
    <rPh sb="5" eb="6">
      <t>ガタ</t>
    </rPh>
    <rPh sb="6" eb="8">
      <t>セッケイ</t>
    </rPh>
    <rPh sb="8" eb="9">
      <t>ホウ</t>
    </rPh>
    <rPh sb="10" eb="12">
      <t>テキヨウ</t>
    </rPh>
    <phoneticPr fontId="1"/>
  </si>
  <si>
    <t>柱の折損</t>
    <rPh sb="0" eb="1">
      <t>ハシラ</t>
    </rPh>
    <rPh sb="2" eb="4">
      <t>セッソン</t>
    </rPh>
    <phoneticPr fontId="1"/>
  </si>
  <si>
    <t>「くまもと型設計法」の計算省略条件</t>
    <rPh sb="5" eb="6">
      <t>ガタ</t>
    </rPh>
    <rPh sb="6" eb="8">
      <t>セッケイ</t>
    </rPh>
    <rPh sb="8" eb="9">
      <t>ホウ</t>
    </rPh>
    <rPh sb="11" eb="13">
      <t>ケイサン</t>
    </rPh>
    <rPh sb="13" eb="15">
      <t>ショウリャク</t>
    </rPh>
    <rPh sb="15" eb="17">
      <t>ジョウケン</t>
    </rPh>
    <phoneticPr fontId="1"/>
  </si>
  <si>
    <t>吹き抜けの外周の接する長さが3,200㎜以下で耐風梁に継手がないこと。</t>
    <phoneticPr fontId="1"/>
  </si>
  <si>
    <t>石場建形式</t>
    <rPh sb="0" eb="2">
      <t>イシバ</t>
    </rPh>
    <rPh sb="2" eb="3">
      <t>ダテ</t>
    </rPh>
    <rPh sb="3" eb="5">
      <t>ケイシキ</t>
    </rPh>
    <phoneticPr fontId="1"/>
  </si>
  <si>
    <t>「くまもと型設計法」の仕様</t>
    <rPh sb="5" eb="6">
      <t>ガタ</t>
    </rPh>
    <rPh sb="6" eb="9">
      <t>セッケイホウ</t>
    </rPh>
    <rPh sb="11" eb="13">
      <t>シヨウ</t>
    </rPh>
    <phoneticPr fontId="1"/>
  </si>
  <si>
    <t>継手・仕口</t>
    <rPh sb="0" eb="1">
      <t>ツ</t>
    </rPh>
    <rPh sb="1" eb="2">
      <t>テ</t>
    </rPh>
    <rPh sb="3" eb="4">
      <t>シ</t>
    </rPh>
    <rPh sb="4" eb="5">
      <t>グチ</t>
    </rPh>
    <phoneticPr fontId="1"/>
  </si>
  <si>
    <t>判定</t>
    <rPh sb="0" eb="2">
      <t>ハンテイ</t>
    </rPh>
    <phoneticPr fontId="1"/>
  </si>
  <si>
    <t>仕様</t>
    <rPh sb="0" eb="2">
      <t>シヨウ</t>
    </rPh>
    <phoneticPr fontId="1"/>
  </si>
  <si>
    <t>継手の有無</t>
    <rPh sb="0" eb="1">
      <t>ツ</t>
    </rPh>
    <rPh sb="1" eb="2">
      <t>テ</t>
    </rPh>
    <rPh sb="3" eb="5">
      <t>ウム</t>
    </rPh>
    <phoneticPr fontId="1"/>
  </si>
  <si>
    <t>「くまもと型設計法」では、上記の適用範囲を満たせば、各項目の計算を省略することができる。</t>
    <rPh sb="5" eb="6">
      <t>ガタ</t>
    </rPh>
    <rPh sb="6" eb="9">
      <t>セッケイホウ</t>
    </rPh>
    <rPh sb="13" eb="15">
      <t>ジョウキ</t>
    </rPh>
    <rPh sb="16" eb="18">
      <t>テキヨウ</t>
    </rPh>
    <rPh sb="18" eb="20">
      <t>ハンイ</t>
    </rPh>
    <rPh sb="21" eb="22">
      <t>ミ</t>
    </rPh>
    <rPh sb="26" eb="27">
      <t>カク</t>
    </rPh>
    <rPh sb="27" eb="29">
      <t>コウモク</t>
    </rPh>
    <rPh sb="30" eb="32">
      <t>ケイサン</t>
    </rPh>
    <rPh sb="33" eb="35">
      <t>ショウリャク</t>
    </rPh>
    <phoneticPr fontId="1"/>
  </si>
  <si>
    <t>　</t>
  </si>
  <si>
    <t>固定荷重表（部材）</t>
    <rPh sb="0" eb="2">
      <t>コテイ</t>
    </rPh>
    <rPh sb="2" eb="4">
      <t>カジュウ</t>
    </rPh>
    <rPh sb="4" eb="5">
      <t>ヒョウ</t>
    </rPh>
    <rPh sb="6" eb="8">
      <t>ブザイ</t>
    </rPh>
    <phoneticPr fontId="1"/>
  </si>
  <si>
    <t>コンクリートの許容応力度　（N/㎟）</t>
    <rPh sb="7" eb="9">
      <t>キョヨウ</t>
    </rPh>
    <rPh sb="9" eb="11">
      <t>オウリョク</t>
    </rPh>
    <rPh sb="11" eb="12">
      <t>ド</t>
    </rPh>
    <phoneticPr fontId="1"/>
  </si>
  <si>
    <t>鉄筋の許容応力度（N/㎟）</t>
    <rPh sb="0" eb="2">
      <t>テッキン</t>
    </rPh>
    <rPh sb="3" eb="5">
      <t>キョヨウ</t>
    </rPh>
    <rPh sb="5" eb="7">
      <t>オウリョク</t>
    </rPh>
    <rPh sb="7" eb="8">
      <t>ド</t>
    </rPh>
    <phoneticPr fontId="1"/>
  </si>
  <si>
    <t>7kN/㎟</t>
    <phoneticPr fontId="1"/>
  </si>
  <si>
    <t>9kN/㎟</t>
    <phoneticPr fontId="1"/>
  </si>
  <si>
    <t>N/㎟</t>
    <phoneticPr fontId="1"/>
  </si>
  <si>
    <t>・積載荷重</t>
    <rPh sb="1" eb="3">
      <t>セキサイ</t>
    </rPh>
    <rPh sb="3" eb="5">
      <t>カジュウ</t>
    </rPh>
    <phoneticPr fontId="1"/>
  </si>
  <si>
    <t>2.1　荷重</t>
    <rPh sb="4" eb="6">
      <t>カジュウ</t>
    </rPh>
    <phoneticPr fontId="1"/>
  </si>
  <si>
    <t>1-</t>
    <phoneticPr fontId="1"/>
  </si>
  <si>
    <t>「くまもと型設計法計算ソフト」を使用</t>
    <rPh sb="5" eb="6">
      <t>ガタ</t>
    </rPh>
    <rPh sb="6" eb="9">
      <t>セッケイホウ</t>
    </rPh>
    <rPh sb="9" eb="11">
      <t>ケイサン</t>
    </rPh>
    <rPh sb="16" eb="18">
      <t>シヨウ</t>
    </rPh>
    <phoneticPr fontId="1"/>
  </si>
  <si>
    <t>1.5　外力</t>
    <rPh sb="4" eb="6">
      <t>ガイリョク</t>
    </rPh>
    <phoneticPr fontId="1"/>
  </si>
  <si>
    <t>偏心率・剛性率</t>
    <rPh sb="0" eb="1">
      <t>カタヨ</t>
    </rPh>
    <rPh sb="1" eb="2">
      <t>ココロ</t>
    </rPh>
    <rPh sb="2" eb="3">
      <t>リツ</t>
    </rPh>
    <rPh sb="4" eb="6">
      <t>ゴウセイ</t>
    </rPh>
    <rPh sb="6" eb="7">
      <t>リツ</t>
    </rPh>
    <phoneticPr fontId="1"/>
  </si>
  <si>
    <t>偏心率15/100以下、剛性率6/10以上</t>
    <rPh sb="0" eb="2">
      <t>ヘンシン</t>
    </rPh>
    <rPh sb="2" eb="3">
      <t>リツ</t>
    </rPh>
    <rPh sb="9" eb="11">
      <t>イカ</t>
    </rPh>
    <rPh sb="12" eb="14">
      <t>ゴウセイ</t>
    </rPh>
    <rPh sb="14" eb="15">
      <t>リツ</t>
    </rPh>
    <rPh sb="19" eb="21">
      <t>イジョウ</t>
    </rPh>
    <phoneticPr fontId="1"/>
  </si>
  <si>
    <t>屋根勾配</t>
    <rPh sb="0" eb="2">
      <t>ヤネ</t>
    </rPh>
    <rPh sb="2" eb="4">
      <t>コウバイ</t>
    </rPh>
    <phoneticPr fontId="1"/>
  </si>
  <si>
    <t>6寸勾配以下</t>
    <rPh sb="1" eb="2">
      <t>スン</t>
    </rPh>
    <rPh sb="2" eb="4">
      <t>コウバイ</t>
    </rPh>
    <rPh sb="4" eb="6">
      <t>イカ</t>
    </rPh>
    <phoneticPr fontId="1"/>
  </si>
  <si>
    <t>スパン</t>
    <phoneticPr fontId="1"/>
  </si>
  <si>
    <t>軒の出</t>
    <rPh sb="0" eb="1">
      <t>ノキ</t>
    </rPh>
    <rPh sb="2" eb="3">
      <t>デ</t>
    </rPh>
    <phoneticPr fontId="1"/>
  </si>
  <si>
    <t>整形な平面形</t>
    <rPh sb="0" eb="2">
      <t>セイケイ</t>
    </rPh>
    <rPh sb="3" eb="5">
      <t>ヘイメン</t>
    </rPh>
    <rPh sb="5" eb="6">
      <t>ケイ</t>
    </rPh>
    <phoneticPr fontId="1"/>
  </si>
  <si>
    <t>985㎜以下</t>
    <rPh sb="4" eb="6">
      <t>イカ</t>
    </rPh>
    <phoneticPr fontId="1"/>
  </si>
  <si>
    <t>モジュール（P)</t>
    <phoneticPr fontId="1"/>
  </si>
  <si>
    <t>4P以下（各部材を検討した場合は5P以下）</t>
    <rPh sb="2" eb="4">
      <t>イカ</t>
    </rPh>
    <rPh sb="5" eb="6">
      <t>カク</t>
    </rPh>
    <rPh sb="6" eb="8">
      <t>ブザイ</t>
    </rPh>
    <rPh sb="9" eb="11">
      <t>ケントウ</t>
    </rPh>
    <rPh sb="13" eb="15">
      <t>バアイ</t>
    </rPh>
    <rPh sb="18" eb="20">
      <t>イカ</t>
    </rPh>
    <phoneticPr fontId="1"/>
  </si>
  <si>
    <t>120㎜×120㎜以上</t>
    <rPh sb="9" eb="11">
      <t>イジョウ</t>
    </rPh>
    <phoneticPr fontId="1"/>
  </si>
  <si>
    <t>150㎜×150㎜以上</t>
    <rPh sb="9" eb="11">
      <t>イジョウ</t>
    </rPh>
    <phoneticPr fontId="1"/>
  </si>
  <si>
    <t>横架材せい</t>
    <rPh sb="0" eb="1">
      <t>ヨコ</t>
    </rPh>
    <phoneticPr fontId="1"/>
  </si>
  <si>
    <t>小屋梁120㎜×180㎜以上、床梁120㎜×210㎜以上</t>
    <rPh sb="0" eb="2">
      <t>コヤ</t>
    </rPh>
    <rPh sb="2" eb="3">
      <t>ハリ</t>
    </rPh>
    <rPh sb="12" eb="14">
      <t>イジョウ</t>
    </rPh>
    <rPh sb="15" eb="16">
      <t>ユカ</t>
    </rPh>
    <rPh sb="16" eb="17">
      <t>ハリ</t>
    </rPh>
    <rPh sb="26" eb="28">
      <t>イジョウ</t>
    </rPh>
    <phoneticPr fontId="1"/>
  </si>
  <si>
    <t>足固め120㎜×180㎜以上、受梁120㎜×240㎜以上</t>
    <rPh sb="0" eb="2">
      <t>アシガタ</t>
    </rPh>
    <rPh sb="12" eb="14">
      <t>イジョウ</t>
    </rPh>
    <rPh sb="15" eb="17">
      <t>ウケバリ</t>
    </rPh>
    <rPh sb="16" eb="17">
      <t>ハリ</t>
    </rPh>
    <rPh sb="26" eb="28">
      <t>イジョウ</t>
    </rPh>
    <phoneticPr fontId="1"/>
  </si>
  <si>
    <t>水平方向のみ拘束</t>
    <phoneticPr fontId="1"/>
  </si>
  <si>
    <t>水平,上下方向ともに拘束しない</t>
    <phoneticPr fontId="1"/>
  </si>
  <si>
    <t>水平,上下方向ともに拘束</t>
    <phoneticPr fontId="1"/>
  </si>
  <si>
    <t>横架材（梁）</t>
    <rPh sb="0" eb="1">
      <t>ヨコ</t>
    </rPh>
    <rPh sb="4" eb="5">
      <t>ハリ</t>
    </rPh>
    <phoneticPr fontId="1"/>
  </si>
  <si>
    <t>横架材（垂木等）</t>
    <rPh sb="0" eb="1">
      <t>ヨコ</t>
    </rPh>
    <rPh sb="4" eb="6">
      <t>タルキ</t>
    </rPh>
    <rPh sb="6" eb="7">
      <t>トウ</t>
    </rPh>
    <phoneticPr fontId="1"/>
  </si>
  <si>
    <t>アスペクト比≧2</t>
    <rPh sb="5" eb="6">
      <t>ヒ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</si>
  <si>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</si>
  <si>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許容応力度20kN/㎡以上</t>
    <rPh sb="0" eb="2">
      <t>キョヨウ</t>
    </rPh>
    <rPh sb="2" eb="4">
      <t>オウリョク</t>
    </rPh>
    <rPh sb="4" eb="5">
      <t>ド</t>
    </rPh>
    <rPh sb="11" eb="13">
      <t>イジョウ</t>
    </rPh>
    <phoneticPr fontId="1"/>
  </si>
  <si>
    <t>許容応力度20kN/㎡未満で、地盤改良有</t>
    <rPh sb="0" eb="2">
      <t>キョヨウ</t>
    </rPh>
    <rPh sb="2" eb="4">
      <t>オウリョク</t>
    </rPh>
    <rPh sb="4" eb="5">
      <t>ド</t>
    </rPh>
    <rPh sb="11" eb="13">
      <t>ミマン</t>
    </rPh>
    <rPh sb="15" eb="17">
      <t>ジバン</t>
    </rPh>
    <rPh sb="17" eb="19">
      <t>カイリョウ</t>
    </rPh>
    <rPh sb="19" eb="20">
      <t>アリ</t>
    </rPh>
    <phoneticPr fontId="1"/>
  </si>
  <si>
    <t>記号</t>
    <rPh sb="0" eb="2">
      <t>キゴウ</t>
    </rPh>
    <phoneticPr fontId="1"/>
  </si>
  <si>
    <t>算定する項目</t>
    <rPh sb="0" eb="2">
      <t>サンテイ</t>
    </rPh>
    <rPh sb="4" eb="6">
      <t>コウモク</t>
    </rPh>
    <phoneticPr fontId="1"/>
  </si>
  <si>
    <t>2階外壁半分</t>
    <rPh sb="1" eb="2">
      <t>カイ</t>
    </rPh>
    <rPh sb="2" eb="4">
      <t>ガイヘキ</t>
    </rPh>
    <rPh sb="4" eb="6">
      <t>ハンブン</t>
    </rPh>
    <phoneticPr fontId="1"/>
  </si>
  <si>
    <t>1階外壁半分</t>
    <rPh sb="1" eb="2">
      <t>カイ</t>
    </rPh>
    <rPh sb="2" eb="4">
      <t>ガイヘキ</t>
    </rPh>
    <rPh sb="4" eb="6">
      <t>ハンブン</t>
    </rPh>
    <phoneticPr fontId="1"/>
  </si>
  <si>
    <t>2階やぎり</t>
    <rPh sb="1" eb="2">
      <t>カイ</t>
    </rPh>
    <phoneticPr fontId="1"/>
  </si>
  <si>
    <t>1階やぎり</t>
    <rPh sb="1" eb="2">
      <t>カイ</t>
    </rPh>
    <phoneticPr fontId="1"/>
  </si>
  <si>
    <t>1,2階内壁半分、2階床、1階天井、2階積載荷重</t>
    <rPh sb="3" eb="4">
      <t>カイ</t>
    </rPh>
    <rPh sb="4" eb="5">
      <t>ウチ</t>
    </rPh>
    <rPh sb="5" eb="6">
      <t>カベ</t>
    </rPh>
    <rPh sb="6" eb="8">
      <t>ハンブン</t>
    </rPh>
    <rPh sb="10" eb="11">
      <t>カイ</t>
    </rPh>
    <rPh sb="11" eb="12">
      <t>ユカ</t>
    </rPh>
    <rPh sb="14" eb="15">
      <t>カイ</t>
    </rPh>
    <rPh sb="15" eb="17">
      <t>テンジョウ</t>
    </rPh>
    <rPh sb="19" eb="20">
      <t>カイ</t>
    </rPh>
    <rPh sb="20" eb="22">
      <t>セキサイ</t>
    </rPh>
    <rPh sb="22" eb="24">
      <t>カジュウ</t>
    </rPh>
    <phoneticPr fontId="1"/>
  </si>
  <si>
    <t>2階小屋梁+２階内壁半分+2階天井</t>
    <rPh sb="1" eb="2">
      <t>カイ</t>
    </rPh>
    <rPh sb="2" eb="4">
      <t>コヤ</t>
    </rPh>
    <rPh sb="4" eb="5">
      <t>ハリ</t>
    </rPh>
    <rPh sb="7" eb="8">
      <t>カイ</t>
    </rPh>
    <rPh sb="8" eb="10">
      <t>ナイヘキ</t>
    </rPh>
    <rPh sb="10" eb="12">
      <t>ハンブン</t>
    </rPh>
    <rPh sb="14" eb="15">
      <t>カイ</t>
    </rPh>
    <rPh sb="15" eb="17">
      <t>テンジョウ</t>
    </rPh>
    <phoneticPr fontId="1"/>
  </si>
  <si>
    <t>1階小屋梁+1階内壁半分+1階天井</t>
    <rPh sb="1" eb="2">
      <t>カイ</t>
    </rPh>
    <rPh sb="2" eb="4">
      <t>コヤ</t>
    </rPh>
    <rPh sb="4" eb="5">
      <t>ハリ</t>
    </rPh>
    <rPh sb="7" eb="8">
      <t>カイ</t>
    </rPh>
    <rPh sb="8" eb="10">
      <t>ナイヘキ</t>
    </rPh>
    <rPh sb="10" eb="12">
      <t>ハンブン</t>
    </rPh>
    <rPh sb="14" eb="15">
      <t>カイ</t>
    </rPh>
    <rPh sb="15" eb="17">
      <t>テンジョウ</t>
    </rPh>
    <phoneticPr fontId="1"/>
  </si>
  <si>
    <t>1階内壁半分、1階床、1階積載荷重</t>
    <rPh sb="1" eb="2">
      <t>カイ</t>
    </rPh>
    <rPh sb="2" eb="4">
      <t>ナイヘキ</t>
    </rPh>
    <rPh sb="4" eb="6">
      <t>ハンブン</t>
    </rPh>
    <rPh sb="8" eb="9">
      <t>カイ</t>
    </rPh>
    <rPh sb="9" eb="10">
      <t>ユカ</t>
    </rPh>
    <rPh sb="12" eb="13">
      <t>カイ</t>
    </rPh>
    <rPh sb="13" eb="15">
      <t>セキサイ</t>
    </rPh>
    <rPh sb="15" eb="17">
      <t>カジュウ</t>
    </rPh>
    <phoneticPr fontId="1"/>
  </si>
  <si>
    <t>2階屋根</t>
    <rPh sb="1" eb="2">
      <t>カイ</t>
    </rPh>
    <rPh sb="2" eb="4">
      <t>ヤネ</t>
    </rPh>
    <phoneticPr fontId="1"/>
  </si>
  <si>
    <t>1階屋根</t>
    <rPh sb="1" eb="2">
      <t>カイ</t>
    </rPh>
    <rPh sb="2" eb="4">
      <t>ヤネ</t>
    </rPh>
    <phoneticPr fontId="1"/>
  </si>
  <si>
    <t>記号と固定荷重表（部材）の関係</t>
    <rPh sb="0" eb="2">
      <t>キゴウ</t>
    </rPh>
    <rPh sb="3" eb="5">
      <t>コテイ</t>
    </rPh>
    <rPh sb="5" eb="7">
      <t>カジュウ</t>
    </rPh>
    <rPh sb="7" eb="8">
      <t>ヒョウ</t>
    </rPh>
    <rPh sb="9" eb="11">
      <t>ブザイ</t>
    </rPh>
    <rPh sb="13" eb="15">
      <t>カンケイ</t>
    </rPh>
    <phoneticPr fontId="1"/>
  </si>
  <si>
    <t>横架材間垂直距離</t>
  </si>
  <si>
    <t>地盤の許容応力度</t>
    <phoneticPr fontId="1"/>
  </si>
  <si>
    <t>許容応力度20kN/㎡以上</t>
    <phoneticPr fontId="1"/>
  </si>
  <si>
    <t>1階の横架材間の垂直距離</t>
    <rPh sb="1" eb="2">
      <t>カイ</t>
    </rPh>
    <rPh sb="3" eb="4">
      <t>ヨコ</t>
    </rPh>
    <rPh sb="6" eb="7">
      <t>アイダ</t>
    </rPh>
    <rPh sb="8" eb="10">
      <t>スイチョク</t>
    </rPh>
    <rPh sb="10" eb="12">
      <t>キョリ</t>
    </rPh>
    <phoneticPr fontId="1"/>
  </si>
  <si>
    <t>2階の横架材間の垂直距離</t>
    <rPh sb="1" eb="2">
      <t>カイ</t>
    </rPh>
    <rPh sb="3" eb="4">
      <t>ヨコ</t>
    </rPh>
    <rPh sb="6" eb="7">
      <t>アイダ</t>
    </rPh>
    <rPh sb="8" eb="10">
      <t>スイチョク</t>
    </rPh>
    <rPh sb="10" eb="12">
      <t>キョリ</t>
    </rPh>
    <phoneticPr fontId="1"/>
  </si>
  <si>
    <t>■Ⅴ2階やぎり</t>
    <rPh sb="3" eb="4">
      <t>カイ</t>
    </rPh>
    <phoneticPr fontId="6"/>
  </si>
  <si>
    <t>■Ⅴ1階やぎり</t>
    <rPh sb="3" eb="4">
      <t>カイ</t>
    </rPh>
    <phoneticPr fontId="1"/>
  </si>
  <si>
    <t>・根太、大引、母屋・棟木、隅木、垂木に関しては横架材（垂木等）スパン表を採用する。</t>
    <rPh sb="1" eb="3">
      <t>ネダ</t>
    </rPh>
    <rPh sb="4" eb="6">
      <t>オオビ</t>
    </rPh>
    <rPh sb="7" eb="9">
      <t>モヤ</t>
    </rPh>
    <rPh sb="10" eb="11">
      <t>ムネ</t>
    </rPh>
    <rPh sb="11" eb="12">
      <t>キ</t>
    </rPh>
    <rPh sb="13" eb="14">
      <t>スミ</t>
    </rPh>
    <rPh sb="14" eb="15">
      <t>キ</t>
    </rPh>
    <rPh sb="16" eb="18">
      <t>タルキ</t>
    </rPh>
    <rPh sb="19" eb="20">
      <t>カン</t>
    </rPh>
    <rPh sb="23" eb="24">
      <t>ヨコ</t>
    </rPh>
    <rPh sb="27" eb="29">
      <t>タルキ</t>
    </rPh>
    <rPh sb="29" eb="30">
      <t>トウ</t>
    </rPh>
    <rPh sb="34" eb="35">
      <t>ヒョウ</t>
    </rPh>
    <rPh sb="36" eb="38">
      <t>サイヨウ</t>
    </rPh>
    <phoneticPr fontId="1"/>
  </si>
  <si>
    <t>・根太の検討</t>
    <rPh sb="1" eb="3">
      <t>ネダ</t>
    </rPh>
    <rPh sb="4" eb="6">
      <t>ケントウ</t>
    </rPh>
    <phoneticPr fontId="1"/>
  </si>
  <si>
    <t>設計条件</t>
    <rPh sb="0" eb="2">
      <t>セッケイ</t>
    </rPh>
    <rPh sb="2" eb="4">
      <t>ジョウケン</t>
    </rPh>
    <phoneticPr fontId="1"/>
  </si>
  <si>
    <t>部材寸法(㎜)</t>
    <rPh sb="0" eb="2">
      <t>ブザイ</t>
    </rPh>
    <rPh sb="2" eb="4">
      <t>スンポウ</t>
    </rPh>
    <phoneticPr fontId="1"/>
  </si>
  <si>
    <t>根太間隔</t>
    <rPh sb="0" eb="2">
      <t>ネダ</t>
    </rPh>
    <rPh sb="2" eb="4">
      <t>カンカク</t>
    </rPh>
    <phoneticPr fontId="1"/>
  </si>
  <si>
    <t>根太スパン</t>
    <rPh sb="0" eb="2">
      <t>ネダ</t>
    </rPh>
    <phoneticPr fontId="1"/>
  </si>
  <si>
    <t>幅</t>
    <rPh sb="0" eb="1">
      <t>ハバ</t>
    </rPh>
    <phoneticPr fontId="1"/>
  </si>
  <si>
    <t>せい</t>
    <phoneticPr fontId="1"/>
  </si>
  <si>
    <t>（㎜）</t>
    <phoneticPr fontId="1"/>
  </si>
  <si>
    <t>・大引の検討</t>
    <rPh sb="1" eb="3">
      <t>オオビケ</t>
    </rPh>
    <rPh sb="4" eb="6">
      <t>ケントウ</t>
    </rPh>
    <phoneticPr fontId="1"/>
  </si>
  <si>
    <t>大引間隔</t>
    <rPh sb="0" eb="2">
      <t>オオビ</t>
    </rPh>
    <rPh sb="2" eb="4">
      <t>カンカク</t>
    </rPh>
    <phoneticPr fontId="1"/>
  </si>
  <si>
    <t>床束間隔</t>
    <rPh sb="0" eb="1">
      <t>ユカ</t>
    </rPh>
    <rPh sb="1" eb="2">
      <t>ツカ</t>
    </rPh>
    <rPh sb="2" eb="4">
      <t>カンカク</t>
    </rPh>
    <phoneticPr fontId="1"/>
  </si>
  <si>
    <t>・母屋・棟木の検討</t>
    <rPh sb="1" eb="3">
      <t>モヤ</t>
    </rPh>
    <rPh sb="4" eb="5">
      <t>ムネ</t>
    </rPh>
    <rPh sb="5" eb="6">
      <t>キ</t>
    </rPh>
    <rPh sb="7" eb="9">
      <t>ケントウ</t>
    </rPh>
    <phoneticPr fontId="1"/>
  </si>
  <si>
    <t>屋根</t>
    <rPh sb="0" eb="2">
      <t>ヤネ</t>
    </rPh>
    <phoneticPr fontId="1"/>
  </si>
  <si>
    <t>母屋間隔</t>
    <rPh sb="0" eb="2">
      <t>モヤ</t>
    </rPh>
    <rPh sb="2" eb="4">
      <t>カンカク</t>
    </rPh>
    <phoneticPr fontId="1"/>
  </si>
  <si>
    <t>小屋床束間隔</t>
    <rPh sb="0" eb="2">
      <t>コヤ</t>
    </rPh>
    <rPh sb="2" eb="3">
      <t>ユカ</t>
    </rPh>
    <rPh sb="3" eb="4">
      <t>ツカ</t>
    </rPh>
    <rPh sb="4" eb="6">
      <t>カンカク</t>
    </rPh>
    <phoneticPr fontId="1"/>
  </si>
  <si>
    <t>・隅木の検討</t>
    <rPh sb="1" eb="2">
      <t>スミ</t>
    </rPh>
    <rPh sb="2" eb="3">
      <t>キ</t>
    </rPh>
    <rPh sb="4" eb="6">
      <t>ケントウ</t>
    </rPh>
    <phoneticPr fontId="1"/>
  </si>
  <si>
    <t>～</t>
    <phoneticPr fontId="1"/>
  </si>
  <si>
    <t>・垂木の検討</t>
    <rPh sb="1" eb="3">
      <t>タルキ</t>
    </rPh>
    <rPh sb="4" eb="6">
      <t>ケントウ</t>
    </rPh>
    <phoneticPr fontId="1"/>
  </si>
  <si>
    <t>・屋根平部と軒先部の二ヶ所で検討を行う。</t>
    <rPh sb="1" eb="3">
      <t>ヤネ</t>
    </rPh>
    <rPh sb="3" eb="4">
      <t>ヒラ</t>
    </rPh>
    <rPh sb="4" eb="5">
      <t>ブ</t>
    </rPh>
    <rPh sb="6" eb="8">
      <t>ノキサキ</t>
    </rPh>
    <rPh sb="8" eb="9">
      <t>ブ</t>
    </rPh>
    <rPh sb="10" eb="13">
      <t>ニカショ</t>
    </rPh>
    <rPh sb="14" eb="16">
      <t>ケントウ</t>
    </rPh>
    <rPh sb="17" eb="18">
      <t>オコナ</t>
    </rPh>
    <phoneticPr fontId="1"/>
  </si>
  <si>
    <t>屋根</t>
    <rPh sb="0" eb="1">
      <t>ヤ</t>
    </rPh>
    <rPh sb="1" eb="2">
      <t>ネ</t>
    </rPh>
    <phoneticPr fontId="1"/>
  </si>
  <si>
    <t>部材寸法
適否</t>
    <rPh sb="0" eb="2">
      <t>ブザイ</t>
    </rPh>
    <rPh sb="2" eb="4">
      <t>スンポウ</t>
    </rPh>
    <rPh sb="5" eb="7">
      <t>テキヒ</t>
    </rPh>
    <phoneticPr fontId="1"/>
  </si>
  <si>
    <t>出寸法</t>
    <rPh sb="0" eb="1">
      <t>デ</t>
    </rPh>
    <rPh sb="1" eb="3">
      <t>スンポウ</t>
    </rPh>
    <phoneticPr fontId="1"/>
  </si>
  <si>
    <t>間隔</t>
    <rPh sb="0" eb="2">
      <t>カンカク</t>
    </rPh>
    <phoneticPr fontId="1"/>
  </si>
  <si>
    <t>部材寸法　　　　　　　幅×成（㎜）</t>
    <rPh sb="0" eb="2">
      <t>ブザイ</t>
    </rPh>
    <rPh sb="2" eb="4">
      <t>スンポウ</t>
    </rPh>
    <rPh sb="11" eb="12">
      <t>ハバ</t>
    </rPh>
    <rPh sb="13" eb="14">
      <t>セイ</t>
    </rPh>
    <phoneticPr fontId="1"/>
  </si>
  <si>
    <t>・梁に関しては横架材（梁）スパン表を採用する。</t>
    <rPh sb="7" eb="8">
      <t>ヨコ</t>
    </rPh>
    <rPh sb="11" eb="12">
      <t>ハリ</t>
    </rPh>
    <phoneticPr fontId="1"/>
  </si>
  <si>
    <t>・下部柱が2ｍ以内にあるものは計算しない。</t>
    <rPh sb="1" eb="3">
      <t>カブ</t>
    </rPh>
    <rPh sb="3" eb="4">
      <t>ハシラ</t>
    </rPh>
    <rPh sb="7" eb="9">
      <t>イナイ</t>
    </rPh>
    <rPh sb="15" eb="17">
      <t>ケイサン</t>
    </rPh>
    <phoneticPr fontId="1"/>
  </si>
  <si>
    <t>検討箇所</t>
    <rPh sb="0" eb="2">
      <t>ケントウ</t>
    </rPh>
    <rPh sb="2" eb="4">
      <t>カショ</t>
    </rPh>
    <phoneticPr fontId="1"/>
  </si>
  <si>
    <t>換算表</t>
    <rPh sb="0" eb="2">
      <t>カンザン</t>
    </rPh>
    <rPh sb="2" eb="3">
      <t>ヒョウ</t>
    </rPh>
    <phoneticPr fontId="1"/>
  </si>
  <si>
    <t>階数</t>
    <rPh sb="0" eb="2">
      <t>カイスウ</t>
    </rPh>
    <phoneticPr fontId="1"/>
  </si>
  <si>
    <t>通り</t>
    <rPh sb="0" eb="1">
      <t>トオ</t>
    </rPh>
    <phoneticPr fontId="1"/>
  </si>
  <si>
    <t>部材名</t>
    <rPh sb="0" eb="2">
      <t>ブザイ</t>
    </rPh>
    <rPh sb="2" eb="3">
      <t>メイ</t>
    </rPh>
    <phoneticPr fontId="1"/>
  </si>
  <si>
    <t>負担幅</t>
    <rPh sb="0" eb="2">
      <t>フタン</t>
    </rPh>
    <rPh sb="2" eb="3">
      <t>ハバ</t>
    </rPh>
    <phoneticPr fontId="1"/>
  </si>
  <si>
    <t>・柱負担荷重表より荷重を求める。</t>
    <rPh sb="1" eb="2">
      <t>ハシラ</t>
    </rPh>
    <rPh sb="2" eb="4">
      <t>フタン</t>
    </rPh>
    <rPh sb="4" eb="6">
      <t>カジュウ</t>
    </rPh>
    <rPh sb="6" eb="7">
      <t>ヒョウ</t>
    </rPh>
    <rPh sb="9" eb="11">
      <t>カジュウ</t>
    </rPh>
    <rPh sb="12" eb="13">
      <t>モト</t>
    </rPh>
    <phoneticPr fontId="1"/>
  </si>
  <si>
    <t>柱負担荷重算定</t>
    <rPh sb="0" eb="1">
      <t>ハシラ</t>
    </rPh>
    <rPh sb="1" eb="3">
      <t>フタン</t>
    </rPh>
    <rPh sb="3" eb="5">
      <t>カジュウ</t>
    </rPh>
    <rPh sb="5" eb="7">
      <t>サンテイ</t>
    </rPh>
    <phoneticPr fontId="1"/>
  </si>
  <si>
    <t>柱負担荷重</t>
    <rPh sb="0" eb="1">
      <t>ハシラ</t>
    </rPh>
    <rPh sb="1" eb="3">
      <t>フタン</t>
    </rPh>
    <rPh sb="3" eb="5">
      <t>カジュウ</t>
    </rPh>
    <phoneticPr fontId="1"/>
  </si>
  <si>
    <t>ℓ1</t>
    <phoneticPr fontId="1"/>
  </si>
  <si>
    <t>ℓ2</t>
  </si>
  <si>
    <t>ℓ3</t>
  </si>
  <si>
    <t>ℓ4</t>
  </si>
  <si>
    <t>長辺</t>
    <rPh sb="0" eb="2">
      <t>チョウヘン</t>
    </rPh>
    <phoneticPr fontId="1"/>
  </si>
  <si>
    <t>短辺</t>
    <rPh sb="0" eb="2">
      <t>タンペン</t>
    </rPh>
    <phoneticPr fontId="1"/>
  </si>
  <si>
    <t>(m)</t>
    <phoneticPr fontId="1"/>
  </si>
  <si>
    <t>（ｍ）</t>
    <phoneticPr fontId="1"/>
  </si>
  <si>
    <t>(kN)</t>
    <phoneticPr fontId="1"/>
  </si>
  <si>
    <t>基礎スパン表より</t>
    <rPh sb="0" eb="2">
      <t>キソ</t>
    </rPh>
    <rPh sb="5" eb="6">
      <t>ヒョウ</t>
    </rPh>
    <phoneticPr fontId="1"/>
  </si>
  <si>
    <t>配筋</t>
    <rPh sb="0" eb="1">
      <t>クバ</t>
    </rPh>
    <rPh sb="1" eb="2">
      <t>キン</t>
    </rPh>
    <phoneticPr fontId="1"/>
  </si>
  <si>
    <t>設計接地圧</t>
    <rPh sb="0" eb="2">
      <t>セッケイ</t>
    </rPh>
    <rPh sb="2" eb="4">
      <t>セッチ</t>
    </rPh>
    <rPh sb="4" eb="5">
      <t>アツ</t>
    </rPh>
    <phoneticPr fontId="1"/>
  </si>
  <si>
    <t>必要配筋</t>
    <rPh sb="0" eb="2">
      <t>ヒツヨウ</t>
    </rPh>
    <rPh sb="2" eb="3">
      <t>クバ</t>
    </rPh>
    <rPh sb="3" eb="4">
      <t>キン</t>
    </rPh>
    <phoneticPr fontId="1"/>
  </si>
  <si>
    <t>柱荷重</t>
    <rPh sb="0" eb="1">
      <t>ハシラ</t>
    </rPh>
    <rPh sb="1" eb="3">
      <t>カジュウ</t>
    </rPh>
    <phoneticPr fontId="1"/>
  </si>
  <si>
    <t>L</t>
    <phoneticPr fontId="1"/>
  </si>
  <si>
    <t>ℓ</t>
    <phoneticPr fontId="1"/>
  </si>
  <si>
    <t>(kN/㎡）</t>
    <phoneticPr fontId="1"/>
  </si>
  <si>
    <t>2.2 ２次部材の検討</t>
    <rPh sb="5" eb="6">
      <t>ジ</t>
    </rPh>
    <rPh sb="6" eb="8">
      <t>ブザイ</t>
    </rPh>
    <rPh sb="9" eb="11">
      <t>ケントウ</t>
    </rPh>
    <phoneticPr fontId="1"/>
  </si>
  <si>
    <t>Ⅰ 1階屋根</t>
    <rPh sb="3" eb="4">
      <t>カイ</t>
    </rPh>
    <rPh sb="4" eb="5">
      <t>ヤ</t>
    </rPh>
    <rPh sb="5" eb="6">
      <t>ネ</t>
    </rPh>
    <phoneticPr fontId="6"/>
  </si>
  <si>
    <t>Ⅰ 2階屋根</t>
    <rPh sb="3" eb="4">
      <t>カイ</t>
    </rPh>
    <rPh sb="4" eb="5">
      <t>ヤ</t>
    </rPh>
    <rPh sb="5" eb="6">
      <t>ネ</t>
    </rPh>
    <phoneticPr fontId="6"/>
  </si>
  <si>
    <t>2.3 梁の検討</t>
    <rPh sb="4" eb="5">
      <t>ハリ</t>
    </rPh>
    <rPh sb="6" eb="8">
      <t>ケントウ</t>
    </rPh>
    <phoneticPr fontId="1"/>
  </si>
  <si>
    <t>構造材は熊本県産材を使用する。</t>
    <rPh sb="0" eb="2">
      <t>コウゾウ</t>
    </rPh>
    <rPh sb="2" eb="3">
      <t>ザイ</t>
    </rPh>
    <rPh sb="4" eb="6">
      <t>クマモト</t>
    </rPh>
    <rPh sb="6" eb="7">
      <t>ケン</t>
    </rPh>
    <rPh sb="7" eb="8">
      <t>サン</t>
    </rPh>
    <rPh sb="8" eb="9">
      <t>ザイ</t>
    </rPh>
    <rPh sb="10" eb="12">
      <t>シヨウ</t>
    </rPh>
    <phoneticPr fontId="1"/>
  </si>
  <si>
    <t>貫</t>
    <rPh sb="0" eb="1">
      <t>ヌキ</t>
    </rPh>
    <phoneticPr fontId="1"/>
  </si>
  <si>
    <t>土壁小壁</t>
    <rPh sb="0" eb="1">
      <t>ツチ</t>
    </rPh>
    <rPh sb="1" eb="2">
      <t>カベ</t>
    </rPh>
    <rPh sb="2" eb="4">
      <t>コカベ</t>
    </rPh>
    <phoneticPr fontId="1"/>
  </si>
  <si>
    <t>方杖</t>
    <rPh sb="0" eb="1">
      <t>ホウ</t>
    </rPh>
    <rPh sb="1" eb="2">
      <t>ヅエ</t>
    </rPh>
    <phoneticPr fontId="1"/>
  </si>
  <si>
    <t>柱1本（長ほぞ2ヶ所）の耐力</t>
    <phoneticPr fontId="1"/>
  </si>
  <si>
    <t>土壁厚60㎜、柱間距離1820㎜</t>
    <phoneticPr fontId="1"/>
  </si>
  <si>
    <t>柱120㎜に貫1段（27×105）</t>
    <rPh sb="0" eb="1">
      <t>ハシラ</t>
    </rPh>
    <rPh sb="6" eb="7">
      <t>ヌキ</t>
    </rPh>
    <rPh sb="8" eb="9">
      <t>ダン</t>
    </rPh>
    <phoneticPr fontId="1"/>
  </si>
  <si>
    <t>下見板15㎜をデッキビス留</t>
    <rPh sb="0" eb="2">
      <t>シタミ</t>
    </rPh>
    <rPh sb="2" eb="3">
      <t>イタ</t>
    </rPh>
    <rPh sb="12" eb="13">
      <t>ドメ</t>
    </rPh>
    <phoneticPr fontId="1"/>
  </si>
  <si>
    <t>バス板12㎜×75㎜、柱間1820㎜</t>
    <rPh sb="11" eb="12">
      <t>ハシラ</t>
    </rPh>
    <phoneticPr fontId="1"/>
  </si>
  <si>
    <t>杉板30㎜をデッキビス留</t>
    <rPh sb="0" eb="1">
      <t>スギ</t>
    </rPh>
    <rPh sb="1" eb="2">
      <t>イタ</t>
    </rPh>
    <rPh sb="11" eb="12">
      <t>ドメ</t>
    </rPh>
    <phoneticPr fontId="1"/>
  </si>
  <si>
    <t>杉板12㎜を真鍮釘打ち</t>
    <rPh sb="0" eb="1">
      <t>スギ</t>
    </rPh>
    <rPh sb="1" eb="2">
      <t>イタ</t>
    </rPh>
    <rPh sb="6" eb="8">
      <t>シンチュウ</t>
    </rPh>
    <rPh sb="8" eb="9">
      <t>クギ</t>
    </rPh>
    <rPh sb="9" eb="10">
      <t>ウ</t>
    </rPh>
    <phoneticPr fontId="1"/>
  </si>
  <si>
    <t>90角、φ12ボルト留</t>
    <rPh sb="2" eb="3">
      <t>カド</t>
    </rPh>
    <rPh sb="10" eb="11">
      <t>ドメ</t>
    </rPh>
    <phoneticPr fontId="1"/>
  </si>
  <si>
    <t>はさみ梁120㎜角</t>
    <rPh sb="3" eb="4">
      <t>ハリ</t>
    </rPh>
    <rPh sb="8" eb="9">
      <t>カド</t>
    </rPh>
    <phoneticPr fontId="1"/>
  </si>
  <si>
    <t>柱120㎜、差鴨居120㎜×180㎜</t>
    <phoneticPr fontId="1"/>
  </si>
  <si>
    <t>μ・Σwi</t>
    <phoneticPr fontId="1"/>
  </si>
  <si>
    <t>柱脚の摩擦係数μ</t>
    <rPh sb="0" eb="2">
      <t>チュウキャク</t>
    </rPh>
    <rPh sb="3" eb="5">
      <t>マサツ</t>
    </rPh>
    <rPh sb="5" eb="7">
      <t>ケイスウ</t>
    </rPh>
    <phoneticPr fontId="1"/>
  </si>
  <si>
    <t>μ＝</t>
    <phoneticPr fontId="1"/>
  </si>
  <si>
    <t>2.1荷重より</t>
    <rPh sb="3" eb="5">
      <t>カジュウ</t>
    </rPh>
    <phoneticPr fontId="1"/>
  </si>
  <si>
    <t>Σwi＝</t>
    <phoneticPr fontId="1"/>
  </si>
  <si>
    <t>kN</t>
    <phoneticPr fontId="1"/>
  </si>
  <si>
    <t>Qo＝</t>
    <phoneticPr fontId="1"/>
  </si>
  <si>
    <t>Q1+W0×0.48</t>
    <phoneticPr fontId="1"/>
  </si>
  <si>
    <t>W0＝</t>
    <phoneticPr fontId="1"/>
  </si>
  <si>
    <t>限界耐力計算シートより</t>
    <rPh sb="0" eb="2">
      <t>ゲンカイ</t>
    </rPh>
    <rPh sb="2" eb="4">
      <t>タイリョク</t>
    </rPh>
    <rPh sb="4" eb="6">
      <t>ケイサン</t>
    </rPh>
    <phoneticPr fontId="1"/>
  </si>
  <si>
    <t>Q1＝</t>
    <phoneticPr fontId="1"/>
  </si>
  <si>
    <t>Foは[地震力に対して建物が水平移動しない検討]で求めた。</t>
    <rPh sb="4" eb="7">
      <t>ジシンリョク</t>
    </rPh>
    <rPh sb="8" eb="9">
      <t>タイ</t>
    </rPh>
    <rPh sb="11" eb="13">
      <t>タテモノ</t>
    </rPh>
    <rPh sb="14" eb="16">
      <t>スイヘイ</t>
    </rPh>
    <rPh sb="16" eb="18">
      <t>イドウ</t>
    </rPh>
    <rPh sb="21" eb="23">
      <t>ケントウ</t>
    </rPh>
    <rPh sb="25" eb="26">
      <t>モト</t>
    </rPh>
    <phoneticPr fontId="1"/>
  </si>
  <si>
    <t>1.6Pwは限界耐力計算シートより求める。</t>
    <rPh sb="6" eb="8">
      <t>ゲンカイ</t>
    </rPh>
    <rPh sb="8" eb="10">
      <t>タイリョク</t>
    </rPh>
    <rPh sb="10" eb="12">
      <t>ケイサン</t>
    </rPh>
    <rPh sb="17" eb="18">
      <t>モト</t>
    </rPh>
    <phoneticPr fontId="1"/>
  </si>
  <si>
    <t>となり、</t>
    <phoneticPr fontId="1"/>
  </si>
  <si>
    <t>を満たす必要がある。</t>
    <rPh sb="1" eb="2">
      <t>ミ</t>
    </rPh>
    <rPh sb="4" eb="6">
      <t>ヒツヨウ</t>
    </rPh>
    <phoneticPr fontId="1"/>
  </si>
  <si>
    <t>1.6Pw≦Fo</t>
    <phoneticPr fontId="1"/>
  </si>
  <si>
    <t>2.4</t>
    <phoneticPr fontId="1"/>
  </si>
  <si>
    <t>2.5</t>
    <phoneticPr fontId="1"/>
  </si>
  <si>
    <t>2.5　補足検討</t>
    <rPh sb="4" eb="6">
      <t>ホソク</t>
    </rPh>
    <rPh sb="6" eb="8">
      <t>ケントウ</t>
    </rPh>
    <phoneticPr fontId="1"/>
  </si>
  <si>
    <t>2.4 基礎の検討</t>
    <rPh sb="4" eb="6">
      <t>キソ</t>
    </rPh>
    <rPh sb="7" eb="9">
      <t>ケントウ</t>
    </rPh>
    <phoneticPr fontId="1"/>
  </si>
  <si>
    <t>通し柱の長さが5ｍ～7.5ｍ</t>
    <rPh sb="0" eb="1">
      <t>トオ</t>
    </rPh>
    <rPh sb="2" eb="3">
      <t>ハシラ</t>
    </rPh>
    <phoneticPr fontId="1"/>
  </si>
  <si>
    <t>Qo≦ Fo</t>
    <phoneticPr fontId="1"/>
  </si>
  <si>
    <t>小壁の復元力の最大値が9.6kN以下</t>
    <rPh sb="0" eb="2">
      <t>コカベ</t>
    </rPh>
    <rPh sb="3" eb="6">
      <t>フクゲンリョク</t>
    </rPh>
    <rPh sb="7" eb="10">
      <t>サイダイチ</t>
    </rPh>
    <rPh sb="16" eb="18">
      <t>イカ</t>
    </rPh>
    <phoneticPr fontId="1"/>
  </si>
  <si>
    <t>L</t>
    <phoneticPr fontId="1"/>
  </si>
  <si>
    <t>~</t>
    <phoneticPr fontId="1"/>
  </si>
  <si>
    <t>j</t>
    <phoneticPr fontId="1"/>
  </si>
  <si>
    <t>w</t>
    <phoneticPr fontId="1"/>
  </si>
  <si>
    <t>㎜</t>
    <phoneticPr fontId="1"/>
  </si>
  <si>
    <t>H</t>
    <phoneticPr fontId="1"/>
  </si>
  <si>
    <t>桁行スパン</t>
    <rPh sb="0" eb="2">
      <t>ケタユキ</t>
    </rPh>
    <phoneticPr fontId="1"/>
  </si>
  <si>
    <t>柱位置</t>
    <rPh sb="0" eb="1">
      <t>ハシラ</t>
    </rPh>
    <rPh sb="1" eb="3">
      <t>イチ</t>
    </rPh>
    <phoneticPr fontId="1"/>
  </si>
  <si>
    <t>金物</t>
    <rPh sb="0" eb="2">
      <t>カナモノ</t>
    </rPh>
    <phoneticPr fontId="1"/>
  </si>
  <si>
    <t>独立基礎</t>
    <rPh sb="0" eb="2">
      <t>ドクリツ</t>
    </rPh>
    <rPh sb="2" eb="4">
      <t>キソ</t>
    </rPh>
    <phoneticPr fontId="1"/>
  </si>
  <si>
    <t>（㎜）</t>
  </si>
  <si>
    <t>D(㎜）</t>
    <phoneticPr fontId="1"/>
  </si>
  <si>
    <t>H(㎜）</t>
    <phoneticPr fontId="1"/>
  </si>
  <si>
    <t>X通り</t>
    <rPh sb="1" eb="2">
      <t>トオ</t>
    </rPh>
    <phoneticPr fontId="1"/>
  </si>
  <si>
    <t>Y通り</t>
    <rPh sb="1" eb="2">
      <t>トオ</t>
    </rPh>
    <phoneticPr fontId="1"/>
  </si>
  <si>
    <t>梁間</t>
    <rPh sb="0" eb="1">
      <t>ハリ</t>
    </rPh>
    <rPh sb="1" eb="2">
      <t>アイダ</t>
    </rPh>
    <phoneticPr fontId="1"/>
  </si>
  <si>
    <t>設計</t>
    <rPh sb="0" eb="2">
      <t>セッケイ</t>
    </rPh>
    <phoneticPr fontId="1"/>
  </si>
  <si>
    <t>建物</t>
    <rPh sb="0" eb="1">
      <t>タ</t>
    </rPh>
    <rPh sb="1" eb="2">
      <t>モノ</t>
    </rPh>
    <phoneticPr fontId="1"/>
  </si>
  <si>
    <t>境界条件</t>
    <rPh sb="0" eb="2">
      <t>キョウカイ</t>
    </rPh>
    <rPh sb="2" eb="4">
      <t>ジョウケン</t>
    </rPh>
    <phoneticPr fontId="1"/>
  </si>
  <si>
    <t>配筋
適否</t>
    <rPh sb="0" eb="1">
      <t>クバ</t>
    </rPh>
    <rPh sb="1" eb="2">
      <t>キン</t>
    </rPh>
    <rPh sb="3" eb="5">
      <t>テキヒ</t>
    </rPh>
    <phoneticPr fontId="1"/>
  </si>
  <si>
    <t>短辺</t>
    <rPh sb="0" eb="1">
      <t>ミジカ</t>
    </rPh>
    <rPh sb="1" eb="2">
      <t>ヘン</t>
    </rPh>
    <phoneticPr fontId="1"/>
  </si>
  <si>
    <t>配筋</t>
    <rPh sb="0" eb="1">
      <t>クバ</t>
    </rPh>
    <phoneticPr fontId="1"/>
  </si>
  <si>
    <t>（m)</t>
    <phoneticPr fontId="1"/>
  </si>
  <si>
    <t>土壁全壁</t>
    <rPh sb="0" eb="1">
      <t>ツチ</t>
    </rPh>
    <rPh sb="1" eb="2">
      <t>カベ</t>
    </rPh>
    <rPh sb="2" eb="3">
      <t>ゼン</t>
    </rPh>
    <rPh sb="3" eb="4">
      <t>カベ</t>
    </rPh>
    <phoneticPr fontId="1"/>
  </si>
  <si>
    <t>差し鴨居</t>
    <rPh sb="0" eb="1">
      <t>サ</t>
    </rPh>
    <rPh sb="2" eb="4">
      <t>カモイ</t>
    </rPh>
    <phoneticPr fontId="1"/>
  </si>
  <si>
    <t>下見板全壁</t>
    <rPh sb="0" eb="2">
      <t>シタミ</t>
    </rPh>
    <rPh sb="2" eb="3">
      <t>イタ</t>
    </rPh>
    <rPh sb="3" eb="4">
      <t>ゼン</t>
    </rPh>
    <rPh sb="4" eb="5">
      <t>カベ</t>
    </rPh>
    <phoneticPr fontId="1"/>
  </si>
  <si>
    <t>下見板小壁</t>
    <rPh sb="0" eb="2">
      <t>シタミ</t>
    </rPh>
    <rPh sb="2" eb="3">
      <t>イタ</t>
    </rPh>
    <rPh sb="3" eb="5">
      <t>コカベ</t>
    </rPh>
    <phoneticPr fontId="1"/>
  </si>
  <si>
    <t>バス板横全壁</t>
    <rPh sb="2" eb="3">
      <t>イタ</t>
    </rPh>
    <rPh sb="3" eb="4">
      <t>ヨコ</t>
    </rPh>
    <rPh sb="4" eb="5">
      <t>ゼン</t>
    </rPh>
    <rPh sb="5" eb="6">
      <t>カベ</t>
    </rPh>
    <phoneticPr fontId="1"/>
  </si>
  <si>
    <t>バス板横小壁</t>
    <rPh sb="2" eb="3">
      <t>イタ</t>
    </rPh>
    <rPh sb="3" eb="4">
      <t>ヨコ</t>
    </rPh>
    <rPh sb="4" eb="6">
      <t>コカベ</t>
    </rPh>
    <phoneticPr fontId="1"/>
  </si>
  <si>
    <t>バス板斜全壁</t>
    <rPh sb="2" eb="3">
      <t>イタ</t>
    </rPh>
    <rPh sb="3" eb="4">
      <t>ナナ</t>
    </rPh>
    <rPh sb="4" eb="5">
      <t>ゼン</t>
    </rPh>
    <rPh sb="5" eb="6">
      <t>カベ</t>
    </rPh>
    <phoneticPr fontId="1"/>
  </si>
  <si>
    <t>バス板斜小壁</t>
    <rPh sb="2" eb="3">
      <t>イタ</t>
    </rPh>
    <rPh sb="3" eb="4">
      <t>ナナ</t>
    </rPh>
    <rPh sb="4" eb="6">
      <t>コカベ</t>
    </rPh>
    <phoneticPr fontId="1"/>
  </si>
  <si>
    <t>30杉横（デッキビス）</t>
    <rPh sb="2" eb="3">
      <t>スギ</t>
    </rPh>
    <rPh sb="3" eb="4">
      <t>ヨコ</t>
    </rPh>
    <phoneticPr fontId="1"/>
  </si>
  <si>
    <t>12杉横（真鍮釘）</t>
    <rPh sb="2" eb="3">
      <t>スギ</t>
    </rPh>
    <rPh sb="3" eb="4">
      <t>ヨコ</t>
    </rPh>
    <rPh sb="5" eb="7">
      <t>シンチュウ</t>
    </rPh>
    <rPh sb="7" eb="8">
      <t>クギ</t>
    </rPh>
    <phoneticPr fontId="1"/>
  </si>
  <si>
    <t>30杉縦貫（デッキビス）</t>
    <rPh sb="2" eb="3">
      <t>スギ</t>
    </rPh>
    <rPh sb="3" eb="4">
      <t>タテ</t>
    </rPh>
    <rPh sb="4" eb="5">
      <t>ヌキ</t>
    </rPh>
    <phoneticPr fontId="1"/>
  </si>
  <si>
    <t>30杉縦貫（真鍮釘）</t>
    <rPh sb="2" eb="3">
      <t>スギ</t>
    </rPh>
    <rPh sb="3" eb="4">
      <t>タテ</t>
    </rPh>
    <rPh sb="4" eb="5">
      <t>ヌキ</t>
    </rPh>
    <rPh sb="6" eb="8">
      <t>シンチュウ</t>
    </rPh>
    <rPh sb="8" eb="9">
      <t>クギ</t>
    </rPh>
    <phoneticPr fontId="1"/>
  </si>
  <si>
    <t>土台はさみ梁</t>
    <rPh sb="0" eb="2">
      <t>ドダイ</t>
    </rPh>
    <rPh sb="5" eb="6">
      <t>ハリ</t>
    </rPh>
    <phoneticPr fontId="1"/>
  </si>
  <si>
    <t>土壁荒壁目づめ</t>
    <rPh sb="0" eb="1">
      <t>ツチ</t>
    </rPh>
    <rPh sb="1" eb="2">
      <t>カベ</t>
    </rPh>
    <rPh sb="2" eb="4">
      <t>アラカベ</t>
    </rPh>
    <rPh sb="4" eb="5">
      <t>メ</t>
    </rPh>
    <phoneticPr fontId="1"/>
  </si>
  <si>
    <t>土壁厚40㎜、柱間距離910㎜</t>
    <phoneticPr fontId="1"/>
  </si>
  <si>
    <t>30杉横小壁（デッキビス）</t>
    <rPh sb="2" eb="3">
      <t>スギ</t>
    </rPh>
    <rPh sb="3" eb="4">
      <t>ヨコ</t>
    </rPh>
    <rPh sb="4" eb="6">
      <t>コカベ</t>
    </rPh>
    <phoneticPr fontId="1"/>
  </si>
  <si>
    <t>構造材(柱、梁及び足固め材）は熊本県産材</t>
    <rPh sb="0" eb="3">
      <t>コウゾウザイ</t>
    </rPh>
    <rPh sb="4" eb="5">
      <t>ハシラ</t>
    </rPh>
    <rPh sb="6" eb="7">
      <t>ハリ</t>
    </rPh>
    <rPh sb="7" eb="8">
      <t>オヨ</t>
    </rPh>
    <rPh sb="9" eb="11">
      <t>アシガタ</t>
    </rPh>
    <rPh sb="12" eb="13">
      <t>ザイ</t>
    </rPh>
    <rPh sb="15" eb="19">
      <t>クマモトケンサン</t>
    </rPh>
    <rPh sb="19" eb="20">
      <t>ザイ</t>
    </rPh>
    <phoneticPr fontId="1"/>
  </si>
  <si>
    <t>900㎜以上（雨掛りのおそれのない場合は除く）</t>
    <rPh sb="4" eb="6">
      <t>イジョウ</t>
    </rPh>
    <rPh sb="7" eb="8">
      <t>アメ</t>
    </rPh>
    <rPh sb="8" eb="9">
      <t>ガ</t>
    </rPh>
    <rPh sb="17" eb="19">
      <t>バアイ</t>
    </rPh>
    <rPh sb="20" eb="21">
      <t>ノゾ</t>
    </rPh>
    <phoneticPr fontId="1"/>
  </si>
  <si>
    <t>くまもと型設計法簡易算定表</t>
    <rPh sb="8" eb="10">
      <t>カンイ</t>
    </rPh>
    <rPh sb="10" eb="12">
      <t>サンテイ</t>
    </rPh>
    <rPh sb="12" eb="13">
      <t>ヒョウ</t>
    </rPh>
    <phoneticPr fontId="1"/>
  </si>
  <si>
    <t>くまもと型設計法簡易算定表</t>
    <phoneticPr fontId="1"/>
  </si>
  <si>
    <t>令和〇年〇月</t>
    <rPh sb="0" eb="2">
      <t>レイワ</t>
    </rPh>
    <rPh sb="3" eb="4">
      <t>ネン</t>
    </rPh>
    <rPh sb="5" eb="6">
      <t>ツキ</t>
    </rPh>
    <phoneticPr fontId="1"/>
  </si>
  <si>
    <t xml:space="preserve">　 </t>
  </si>
  <si>
    <t>物件名</t>
    <rPh sb="0" eb="2">
      <t>ブッケン</t>
    </rPh>
    <rPh sb="2" eb="3">
      <t>メイ</t>
    </rPh>
    <phoneticPr fontId="1"/>
  </si>
  <si>
    <t>第</t>
    <rPh sb="0" eb="1">
      <t>ダイ</t>
    </rPh>
    <phoneticPr fontId="1"/>
  </si>
  <si>
    <t>種地盤</t>
    <rPh sb="0" eb="1">
      <t>シュ</t>
    </rPh>
    <rPh sb="1" eb="3">
      <t>ジバン</t>
    </rPh>
    <phoneticPr fontId="1"/>
  </si>
  <si>
    <t>令第84条の固定荷重による</t>
    <rPh sb="1" eb="2">
      <t>ダイ</t>
    </rPh>
    <phoneticPr fontId="1"/>
  </si>
  <si>
    <t>令第85条の積載荷重による</t>
    <rPh sb="1" eb="2">
      <t>ダイ</t>
    </rPh>
    <rPh sb="6" eb="8">
      <t>セキサイ</t>
    </rPh>
    <phoneticPr fontId="1"/>
  </si>
  <si>
    <t>§2.　構造計算書（個別計算）</t>
    <rPh sb="4" eb="6">
      <t>コウゾウ</t>
    </rPh>
    <rPh sb="6" eb="8">
      <t>ケイサン</t>
    </rPh>
    <rPh sb="8" eb="9">
      <t>ショ</t>
    </rPh>
    <rPh sb="10" eb="12">
      <t>コベツ</t>
    </rPh>
    <rPh sb="12" eb="14">
      <t>ケイサン</t>
    </rPh>
    <phoneticPr fontId="1"/>
  </si>
  <si>
    <t>室の種類と積載荷重　（令第85条）</t>
    <rPh sb="0" eb="1">
      <t>シツ</t>
    </rPh>
    <rPh sb="2" eb="4">
      <t>シュルイ</t>
    </rPh>
    <rPh sb="5" eb="7">
      <t>セキサイ</t>
    </rPh>
    <rPh sb="7" eb="9">
      <t>カジュウ</t>
    </rPh>
    <rPh sb="11" eb="12">
      <t>レイ</t>
    </rPh>
    <rPh sb="12" eb="13">
      <t>ダイ</t>
    </rPh>
    <rPh sb="15" eb="16">
      <t>ジョウ</t>
    </rPh>
    <phoneticPr fontId="1"/>
  </si>
  <si>
    <t>W2</t>
    <phoneticPr fontId="1"/>
  </si>
  <si>
    <t>W1</t>
    <phoneticPr fontId="1"/>
  </si>
  <si>
    <t>W0</t>
    <phoneticPr fontId="1"/>
  </si>
  <si>
    <t>通し柱寸法(㎜)</t>
    <rPh sb="0" eb="1">
      <t>トオ</t>
    </rPh>
    <rPh sb="2" eb="3">
      <t>ハシラ</t>
    </rPh>
    <rPh sb="3" eb="5">
      <t>スンポウ</t>
    </rPh>
    <phoneticPr fontId="1"/>
  </si>
  <si>
    <t>通し柱長さ(m)</t>
    <rPh sb="0" eb="1">
      <t>トオ</t>
    </rPh>
    <rPh sb="2" eb="3">
      <t>ハシラ</t>
    </rPh>
    <rPh sb="3" eb="4">
      <t>ナガ</t>
    </rPh>
    <phoneticPr fontId="1"/>
  </si>
  <si>
    <t>最大復元力(kN)</t>
    <rPh sb="0" eb="2">
      <t>サイダイ</t>
    </rPh>
    <rPh sb="2" eb="5">
      <t>フクゲンリョク</t>
    </rPh>
    <phoneticPr fontId="1"/>
  </si>
  <si>
    <t>外周長さ(㎜)</t>
    <rPh sb="0" eb="2">
      <t>ガイシュウ</t>
    </rPh>
    <rPh sb="2" eb="3">
      <t>ナガ</t>
    </rPh>
    <phoneticPr fontId="1"/>
  </si>
  <si>
    <t>[くまもと型設計法]　2.4.3柱脚の設計より</t>
    <rPh sb="16" eb="18">
      <t>チュウキャク</t>
    </rPh>
    <rPh sb="19" eb="21">
      <t>セッケイ</t>
    </rPh>
    <phoneticPr fontId="1"/>
  </si>
  <si>
    <t>足固めの位置で柱が損傷を起こさないようにする。</t>
    <rPh sb="0" eb="2">
      <t>アシガタ</t>
    </rPh>
    <rPh sb="4" eb="6">
      <t>イチ</t>
    </rPh>
    <rPh sb="7" eb="8">
      <t>ハシラ</t>
    </rPh>
    <rPh sb="9" eb="11">
      <t>ソンショウ</t>
    </rPh>
    <rPh sb="12" eb="13">
      <t>オ</t>
    </rPh>
    <phoneticPr fontId="1"/>
  </si>
  <si>
    <t>通し柱の寸法が150㎜角～240㎜角</t>
    <rPh sb="0" eb="1">
      <t>トオ</t>
    </rPh>
    <phoneticPr fontId="1"/>
  </si>
  <si>
    <t>基礎</t>
    <rPh sb="0" eb="2">
      <t>キソ</t>
    </rPh>
    <phoneticPr fontId="1"/>
  </si>
  <si>
    <t>基礎スラブの検討</t>
    <phoneticPr fontId="1"/>
  </si>
  <si>
    <t>2階小屋裏収納,太陽光発電,軒天,屋外の梁組など</t>
    <rPh sb="1" eb="2">
      <t>カイ</t>
    </rPh>
    <rPh sb="2" eb="5">
      <t>コヤウラ</t>
    </rPh>
    <rPh sb="5" eb="7">
      <t>シュウノウ</t>
    </rPh>
    <rPh sb="8" eb="11">
      <t>タイヨウコウ</t>
    </rPh>
    <rPh sb="11" eb="13">
      <t>ハツデン</t>
    </rPh>
    <rPh sb="14" eb="15">
      <t>ノキ</t>
    </rPh>
    <rPh sb="15" eb="16">
      <t>テン</t>
    </rPh>
    <rPh sb="17" eb="19">
      <t>オクガイ</t>
    </rPh>
    <rPh sb="20" eb="21">
      <t>ハリ</t>
    </rPh>
    <rPh sb="21" eb="22">
      <t>クミ</t>
    </rPh>
    <phoneticPr fontId="1"/>
  </si>
  <si>
    <t>1階小屋裏収納,太陽光発電,軒天,屋外の梁組など</t>
    <rPh sb="1" eb="2">
      <t>カイ</t>
    </rPh>
    <rPh sb="2" eb="5">
      <t>コヤウラ</t>
    </rPh>
    <rPh sb="5" eb="7">
      <t>シュウノウ</t>
    </rPh>
    <rPh sb="8" eb="11">
      <t>タイヨウコウ</t>
    </rPh>
    <rPh sb="11" eb="13">
      <t>ハツデン</t>
    </rPh>
    <rPh sb="14" eb="15">
      <t>ノキ</t>
    </rPh>
    <rPh sb="15" eb="16">
      <t>テン</t>
    </rPh>
    <rPh sb="17" eb="19">
      <t>オクガイ</t>
    </rPh>
    <rPh sb="20" eb="21">
      <t>ハリ</t>
    </rPh>
    <rPh sb="21" eb="22">
      <t>クミ</t>
    </rPh>
    <phoneticPr fontId="1"/>
  </si>
  <si>
    <t>地震用荷重算定</t>
    <rPh sb="0" eb="2">
      <t>ジシン</t>
    </rPh>
    <rPh sb="2" eb="3">
      <t>ヨウ</t>
    </rPh>
    <rPh sb="3" eb="5">
      <t>カジュウ</t>
    </rPh>
    <rPh sb="5" eb="7">
      <t>サンテイ</t>
    </rPh>
    <phoneticPr fontId="6"/>
  </si>
  <si>
    <t>■Ⅲ床＋■Ⅵ内壁(２階下半分）＋■Ⅵ内壁(１階上半分）＋■Ⅸ積載荷重</t>
    <rPh sb="2" eb="3">
      <t>ユカ</t>
    </rPh>
    <rPh sb="11" eb="12">
      <t>シタ</t>
    </rPh>
    <rPh sb="30" eb="32">
      <t>セキサイ</t>
    </rPh>
    <rPh sb="32" eb="34">
      <t>カジュウ</t>
    </rPh>
    <phoneticPr fontId="6"/>
  </si>
  <si>
    <t>基礎スラブ</t>
    <rPh sb="0" eb="2">
      <t>キソ</t>
    </rPh>
    <phoneticPr fontId="1"/>
  </si>
  <si>
    <t>上端筋</t>
    <rPh sb="0" eb="1">
      <t>ウエ</t>
    </rPh>
    <rPh sb="1" eb="2">
      <t>ハシ</t>
    </rPh>
    <rPh sb="2" eb="3">
      <t>キン</t>
    </rPh>
    <phoneticPr fontId="1"/>
  </si>
  <si>
    <t>下端筋</t>
    <rPh sb="0" eb="1">
      <t>シタ</t>
    </rPh>
    <rPh sb="1" eb="2">
      <t>ハシ</t>
    </rPh>
    <rPh sb="2" eb="3">
      <t>キン</t>
    </rPh>
    <phoneticPr fontId="1"/>
  </si>
  <si>
    <t>　本建物は「くまもと型設計法」を用いて、設計クライテリア、偏心率、剛心率の安全性を確認した。</t>
    <rPh sb="1" eb="2">
      <t>ホン</t>
    </rPh>
    <rPh sb="2" eb="4">
      <t>タテモノ</t>
    </rPh>
    <rPh sb="10" eb="11">
      <t>ガタ</t>
    </rPh>
    <rPh sb="11" eb="14">
      <t>セッケイホウ</t>
    </rPh>
    <rPh sb="16" eb="17">
      <t>モチ</t>
    </rPh>
    <rPh sb="20" eb="22">
      <t>セッケイ</t>
    </rPh>
    <rPh sb="29" eb="31">
      <t>ヘンシン</t>
    </rPh>
    <rPh sb="31" eb="32">
      <t>リツ</t>
    </rPh>
    <rPh sb="33" eb="34">
      <t>ゴウ</t>
    </rPh>
    <rPh sb="34" eb="35">
      <t>シン</t>
    </rPh>
    <rPh sb="35" eb="36">
      <t>リツ</t>
    </rPh>
    <rPh sb="37" eb="39">
      <t>アンゼン</t>
    </rPh>
    <rPh sb="39" eb="40">
      <t>セイ</t>
    </rPh>
    <rPh sb="41" eb="43">
      <t>カクニン</t>
    </rPh>
    <phoneticPr fontId="1"/>
  </si>
  <si>
    <t>1.8　総合所見</t>
    <rPh sb="4" eb="8">
      <t>ソウゴウショケン</t>
    </rPh>
    <phoneticPr fontId="1"/>
  </si>
  <si>
    <t>・梁柱接合部の検討</t>
    <rPh sb="1" eb="2">
      <t>ハリ</t>
    </rPh>
    <rPh sb="2" eb="3">
      <t>ハシラ</t>
    </rPh>
    <rPh sb="3" eb="6">
      <t>セツゴウブ</t>
    </rPh>
    <rPh sb="7" eb="9">
      <t>ケントウ</t>
    </rPh>
    <phoneticPr fontId="1"/>
  </si>
  <si>
    <t>図面</t>
    <rPh sb="0" eb="2">
      <t>ズメン</t>
    </rPh>
    <phoneticPr fontId="1"/>
  </si>
  <si>
    <t>「くまもと型指針・解説」スパン表</t>
    <rPh sb="5" eb="6">
      <t>ガタ</t>
    </rPh>
    <rPh sb="6" eb="8">
      <t>シシン</t>
    </rPh>
    <rPh sb="9" eb="11">
      <t>カイセツ</t>
    </rPh>
    <rPh sb="15" eb="16">
      <t>ヒョウ</t>
    </rPh>
    <phoneticPr fontId="1"/>
  </si>
  <si>
    <t>該当P</t>
    <rPh sb="0" eb="2">
      <t>ガイトウ</t>
    </rPh>
    <phoneticPr fontId="1"/>
  </si>
  <si>
    <t>通し柱に足固めを主とした構造である。</t>
    <rPh sb="0" eb="1">
      <t>トオ</t>
    </rPh>
    <rPh sb="2" eb="3">
      <t>バシラ</t>
    </rPh>
    <rPh sb="4" eb="6">
      <t>アシガタ</t>
    </rPh>
    <rPh sb="8" eb="9">
      <t>シュ</t>
    </rPh>
    <rPh sb="12" eb="14">
      <t>コウゾウ</t>
    </rPh>
    <phoneticPr fontId="1"/>
  </si>
  <si>
    <t>基礎は鉄筋コンクリート造のベタ基礎とする。</t>
    <phoneticPr fontId="1"/>
  </si>
  <si>
    <t>1.</t>
  </si>
  <si>
    <t>・</t>
    <phoneticPr fontId="1"/>
  </si>
  <si>
    <t>荷重算定は、「くまもと型指針」に基づいて算出を行う。</t>
    <phoneticPr fontId="1"/>
  </si>
  <si>
    <t>横架材の断面検定は、「くまもと型指針」横架材（梁）スパン表により決定する。</t>
    <rPh sb="0" eb="1">
      <t>ヨコ</t>
    </rPh>
    <rPh sb="23" eb="24">
      <t>ハリ</t>
    </rPh>
    <phoneticPr fontId="1"/>
  </si>
  <si>
    <t>軒先の垂木は、「くまもと型指針」横架材（垂木等）スパン表により決定する。</t>
    <phoneticPr fontId="1"/>
  </si>
  <si>
    <t>柱頭・柱脚は、「くまもと型指針」に準拠する。</t>
    <rPh sb="0" eb="1">
      <t>ハシラ</t>
    </rPh>
    <rPh sb="1" eb="2">
      <t>アタマ</t>
    </rPh>
    <rPh sb="3" eb="4">
      <t>ハシラ</t>
    </rPh>
    <rPh sb="4" eb="5">
      <t>アシ</t>
    </rPh>
    <rPh sb="13" eb="15">
      <t>シシン</t>
    </rPh>
    <rPh sb="17" eb="19">
      <t>ジュンキョ</t>
    </rPh>
    <phoneticPr fontId="1"/>
  </si>
  <si>
    <t>継手・仕口は、「くまもと型指針」に準拠する。</t>
    <rPh sb="0" eb="2">
      <t>ツギテ</t>
    </rPh>
    <rPh sb="3" eb="4">
      <t>シ</t>
    </rPh>
    <rPh sb="4" eb="5">
      <t>グチ</t>
    </rPh>
    <rPh sb="13" eb="15">
      <t>シシン</t>
    </rPh>
    <rPh sb="17" eb="19">
      <t>ジュンキョ</t>
    </rPh>
    <phoneticPr fontId="1"/>
  </si>
  <si>
    <t>偏心率は、損傷限界時の剛性により求める。</t>
    <rPh sb="2" eb="3">
      <t>リツ</t>
    </rPh>
    <rPh sb="5" eb="7">
      <t>ソンショウ</t>
    </rPh>
    <phoneticPr fontId="1"/>
  </si>
  <si>
    <t>剛性率は、損傷限界時の層間変形角により求める。</t>
    <rPh sb="5" eb="7">
      <t>ソンショウ</t>
    </rPh>
    <phoneticPr fontId="1"/>
  </si>
  <si>
    <t>耐力要素の仕様は「くまもと型指針」に準拠する。</t>
    <rPh sb="0" eb="2">
      <t>タイリョク</t>
    </rPh>
    <rPh sb="2" eb="4">
      <t>ヨウソ</t>
    </rPh>
    <rPh sb="5" eb="7">
      <t>シヨウ</t>
    </rPh>
    <rPh sb="14" eb="16">
      <t>シシン</t>
    </rPh>
    <rPh sb="18" eb="20">
      <t>ジュンキョ</t>
    </rPh>
    <phoneticPr fontId="1"/>
  </si>
  <si>
    <t>地盤調査の結果により、ベタ基礎とする。</t>
    <rPh sb="13" eb="15">
      <t>キソ</t>
    </rPh>
    <phoneticPr fontId="1"/>
  </si>
  <si>
    <t>6.</t>
  </si>
  <si>
    <t>〇　級建築士　〇　〇　〇号</t>
    <rPh sb="2" eb="3">
      <t>キュウ</t>
    </rPh>
    <rPh sb="3" eb="6">
      <t>ケンチクシ</t>
    </rPh>
    <rPh sb="12" eb="13">
      <t>ゴウ</t>
    </rPh>
    <phoneticPr fontId="1"/>
  </si>
  <si>
    <t>事務所登録</t>
    <rPh sb="0" eb="3">
      <t>ジムショ</t>
    </rPh>
    <rPh sb="3" eb="5">
      <t>トウロク</t>
    </rPh>
    <phoneticPr fontId="1"/>
  </si>
  <si>
    <t>建築士事務所</t>
    <rPh sb="0" eb="3">
      <t>ケンチクシ</t>
    </rPh>
    <rPh sb="3" eb="5">
      <t>ジム</t>
    </rPh>
    <rPh sb="5" eb="6">
      <t>ショ</t>
    </rPh>
    <phoneticPr fontId="1"/>
  </si>
  <si>
    <t>熊本県知事登録第〇　〇　〇　〇号</t>
    <rPh sb="0" eb="2">
      <t>クマモト</t>
    </rPh>
    <rPh sb="2" eb="3">
      <t>ケン</t>
    </rPh>
    <rPh sb="3" eb="5">
      <t>チジ</t>
    </rPh>
    <rPh sb="5" eb="7">
      <t>トウロク</t>
    </rPh>
    <rPh sb="7" eb="8">
      <t>ダイ</t>
    </rPh>
    <rPh sb="15" eb="16">
      <t>ゴウ</t>
    </rPh>
    <phoneticPr fontId="1"/>
  </si>
  <si>
    <t>本設計は、「建築基準法・同施行令その他関係法令」、「くまもと型指針」、「木造軸組工法住宅の限界耐力計算による設計の手引き」、「木造軸組工法住宅の許容応力度計算」に基づいて行う。</t>
    <rPh sb="0" eb="1">
      <t>ホン</t>
    </rPh>
    <rPh sb="1" eb="3">
      <t>セッケイ</t>
    </rPh>
    <rPh sb="6" eb="8">
      <t>ケンチク</t>
    </rPh>
    <rPh sb="8" eb="11">
      <t>キジュンホウ</t>
    </rPh>
    <rPh sb="12" eb="13">
      <t>オナ</t>
    </rPh>
    <rPh sb="13" eb="16">
      <t>シコウレイ</t>
    </rPh>
    <rPh sb="18" eb="19">
      <t>ホカ</t>
    </rPh>
    <rPh sb="19" eb="21">
      <t>カンケイ</t>
    </rPh>
    <rPh sb="21" eb="23">
      <t>ホウレイ</t>
    </rPh>
    <rPh sb="30" eb="31">
      <t>ガタ</t>
    </rPh>
    <rPh sb="31" eb="33">
      <t>シシン</t>
    </rPh>
    <rPh sb="81" eb="82">
      <t>モト</t>
    </rPh>
    <rPh sb="85" eb="86">
      <t>オコナ</t>
    </rPh>
    <phoneticPr fontId="1"/>
  </si>
  <si>
    <t>基礎の形状・配筋は、「くまもと型指針」基礎スパン表より決定する。</t>
    <rPh sb="0" eb="2">
      <t>キソ</t>
    </rPh>
    <rPh sb="3" eb="5">
      <t>ケイジョウ</t>
    </rPh>
    <rPh sb="6" eb="8">
      <t>ハイキン</t>
    </rPh>
    <rPh sb="15" eb="16">
      <t>ガタ</t>
    </rPh>
    <rPh sb="16" eb="18">
      <t>シシン</t>
    </rPh>
    <rPh sb="19" eb="21">
      <t>キソ</t>
    </rPh>
    <rPh sb="24" eb="25">
      <t>ヒョウ</t>
    </rPh>
    <rPh sb="27" eb="29">
      <t>ケッテイ</t>
    </rPh>
    <phoneticPr fontId="1"/>
  </si>
  <si>
    <t>屋根は瓦葺きで、「くまもと型伝統構法を用いた木造建築物設計指針（以下「くまもと型指針」という。）」の「重い屋根」である。</t>
    <rPh sb="0" eb="2">
      <t>ヤネ</t>
    </rPh>
    <rPh sb="3" eb="4">
      <t>カワラ</t>
    </rPh>
    <rPh sb="4" eb="5">
      <t>フ</t>
    </rPh>
    <rPh sb="13" eb="14">
      <t>ガタ</t>
    </rPh>
    <rPh sb="14" eb="16">
      <t>デントウ</t>
    </rPh>
    <rPh sb="16" eb="18">
      <t>コウホウ</t>
    </rPh>
    <rPh sb="19" eb="20">
      <t>モチ</t>
    </rPh>
    <rPh sb="22" eb="24">
      <t>モクゾウ</t>
    </rPh>
    <rPh sb="24" eb="26">
      <t>ケンチク</t>
    </rPh>
    <rPh sb="26" eb="27">
      <t>ブツ</t>
    </rPh>
    <rPh sb="27" eb="29">
      <t>セッケイ</t>
    </rPh>
    <rPh sb="29" eb="31">
      <t>シシン</t>
    </rPh>
    <rPh sb="32" eb="34">
      <t>イカ</t>
    </rPh>
    <rPh sb="39" eb="40">
      <t>ガタ</t>
    </rPh>
    <rPh sb="40" eb="42">
      <t>シシン</t>
    </rPh>
    <rPh sb="51" eb="52">
      <t>オモ</t>
    </rPh>
    <rPh sb="53" eb="55">
      <t>ヤネ</t>
    </rPh>
    <phoneticPr fontId="1"/>
  </si>
  <si>
    <t>内壁は杉板張り又は、ラスボート漆喰仕上げで、「くまもと型指針」の「軽い壁」である。</t>
    <rPh sb="0" eb="2">
      <t>ナイヘキ</t>
    </rPh>
    <rPh sb="3" eb="5">
      <t>スギイタ</t>
    </rPh>
    <rPh sb="5" eb="6">
      <t>ハ</t>
    </rPh>
    <rPh sb="7" eb="8">
      <t>マタ</t>
    </rPh>
    <rPh sb="15" eb="17">
      <t>シックイ</t>
    </rPh>
    <rPh sb="17" eb="19">
      <t>シア</t>
    </rPh>
    <rPh sb="27" eb="28">
      <t>ガタ</t>
    </rPh>
    <rPh sb="28" eb="30">
      <t>シシン</t>
    </rPh>
    <rPh sb="33" eb="34">
      <t>カル</t>
    </rPh>
    <rPh sb="35" eb="36">
      <t>カベ</t>
    </rPh>
    <phoneticPr fontId="1"/>
  </si>
  <si>
    <t>外壁は土壁60㎜に下見板壁で、「くまもと型指針」の「重い壁」である。</t>
    <rPh sb="0" eb="2">
      <t>ガイヘキ</t>
    </rPh>
    <rPh sb="3" eb="5">
      <t>ツチカベ</t>
    </rPh>
    <rPh sb="9" eb="12">
      <t>シタミイタ</t>
    </rPh>
    <rPh sb="12" eb="13">
      <t>カベ</t>
    </rPh>
    <rPh sb="20" eb="21">
      <t>ガタ</t>
    </rPh>
    <rPh sb="21" eb="23">
      <t>シシン</t>
    </rPh>
    <rPh sb="26" eb="27">
      <t>オモ</t>
    </rPh>
    <rPh sb="28" eb="29">
      <t>カベ</t>
    </rPh>
    <phoneticPr fontId="1"/>
  </si>
  <si>
    <t>本建物は、〇ｍ×〇ｍの建物で、軒の高さ〇ｍ、最高高さ〇ｍの切妻屋根の〇階建て住宅である。</t>
    <phoneticPr fontId="1"/>
  </si>
  <si>
    <t>本建物は、「くまもと型伝統構法を用いた木造建築物設計指針・同解説」の中のモデルプランの（〇－〇）に属する。</t>
    <rPh sb="24" eb="26">
      <t>セッケイ</t>
    </rPh>
    <rPh sb="26" eb="28">
      <t>シシン</t>
    </rPh>
    <rPh sb="29" eb="30">
      <t>ドウ</t>
    </rPh>
    <rPh sb="30" eb="32">
      <t>カイセツ</t>
    </rPh>
    <phoneticPr fontId="1"/>
  </si>
  <si>
    <t>耐力要素のパラメータ一覧</t>
    <rPh sb="0" eb="2">
      <t>タイリョク</t>
    </rPh>
    <rPh sb="2" eb="4">
      <t>ヨウソ</t>
    </rPh>
    <rPh sb="10" eb="12">
      <t>イチラン</t>
    </rPh>
    <phoneticPr fontId="1"/>
  </si>
  <si>
    <t>耐力要素</t>
    <phoneticPr fontId="28"/>
  </si>
  <si>
    <t>パラメータ</t>
    <phoneticPr fontId="28"/>
  </si>
  <si>
    <t>P 1</t>
    <phoneticPr fontId="28"/>
  </si>
  <si>
    <t>P 2</t>
    <phoneticPr fontId="28"/>
  </si>
  <si>
    <t>P 3</t>
  </si>
  <si>
    <t>P 4</t>
    <phoneticPr fontId="28"/>
  </si>
  <si>
    <t>P 5</t>
    <phoneticPr fontId="28"/>
  </si>
  <si>
    <t>①長ほぞ</t>
  </si>
  <si>
    <t>階高 (mm)</t>
    <phoneticPr fontId="28"/>
  </si>
  <si>
    <t>②貫</t>
  </si>
  <si>
    <t>貫幅 (mm)</t>
    <rPh sb="0" eb="1">
      <t>ヌキ</t>
    </rPh>
    <rPh sb="1" eb="2">
      <t>ハバ</t>
    </rPh>
    <phoneticPr fontId="28"/>
  </si>
  <si>
    <t>柱幅 (mm)</t>
    <rPh sb="0" eb="1">
      <t>ハシラ</t>
    </rPh>
    <rPh sb="1" eb="2">
      <t>ハバ</t>
    </rPh>
    <phoneticPr fontId="28"/>
  </si>
  <si>
    <r>
      <t>仕口 (1～4)</t>
    </r>
    <r>
      <rPr>
        <vertAlign val="superscript"/>
        <sz val="11"/>
        <color theme="1"/>
        <rFont val="ＭＳ Ｐゴシック"/>
        <family val="3"/>
        <charset val="128"/>
      </rPr>
      <t>※1</t>
    </r>
    <rPh sb="0" eb="1">
      <t>シ</t>
    </rPh>
    <rPh sb="1" eb="2">
      <t>グチ</t>
    </rPh>
    <phoneticPr fontId="28"/>
  </si>
  <si>
    <t>③土壁</t>
  </si>
  <si>
    <t>柱間距離 (mm)</t>
    <phoneticPr fontId="28"/>
  </si>
  <si>
    <t>厚さ (mm)</t>
    <rPh sb="0" eb="1">
      <t>アツ</t>
    </rPh>
    <phoneticPr fontId="31"/>
  </si>
  <si>
    <r>
      <t>縦貫 (1,2)</t>
    </r>
    <r>
      <rPr>
        <vertAlign val="superscript"/>
        <sz val="11"/>
        <color theme="1"/>
        <rFont val="ＭＳ Ｐゴシック"/>
        <family val="3"/>
        <charset val="128"/>
      </rPr>
      <t>※2</t>
    </r>
    <rPh sb="0" eb="1">
      <t>タテ</t>
    </rPh>
    <rPh sb="1" eb="2">
      <t>ヌキ</t>
    </rPh>
    <phoneticPr fontId="31"/>
  </si>
  <si>
    <t>④土壁小壁</t>
  </si>
  <si>
    <t>階高 (mm)</t>
    <rPh sb="0" eb="2">
      <t>カイダカ</t>
    </rPh>
    <phoneticPr fontId="28"/>
  </si>
  <si>
    <t>小壁高 (mm)</t>
    <rPh sb="0" eb="1">
      <t>コ</t>
    </rPh>
    <rPh sb="1" eb="2">
      <t>カベ</t>
    </rPh>
    <rPh sb="2" eb="3">
      <t>タカ</t>
    </rPh>
    <phoneticPr fontId="31"/>
  </si>
  <si>
    <t>⑤差鴨居</t>
  </si>
  <si>
    <t>差鴨居成 (mm)</t>
    <rPh sb="0" eb="1">
      <t>サシ</t>
    </rPh>
    <rPh sb="1" eb="3">
      <t>カモイ</t>
    </rPh>
    <rPh sb="3" eb="4">
      <t>セイ</t>
    </rPh>
    <phoneticPr fontId="31"/>
  </si>
  <si>
    <t>ほぞ幅 (mm)</t>
    <rPh sb="2" eb="3">
      <t>ハバ</t>
    </rPh>
    <phoneticPr fontId="31"/>
  </si>
  <si>
    <t>⑥下見板</t>
  </si>
  <si>
    <t>⑦下見板小壁</t>
  </si>
  <si>
    <t>⑧バス板横張り</t>
    <phoneticPr fontId="1"/>
  </si>
  <si>
    <t>⑨バス板横張り小壁</t>
    <phoneticPr fontId="1"/>
  </si>
  <si>
    <t>⑩バス板斜め張り</t>
    <phoneticPr fontId="1"/>
  </si>
  <si>
    <t>⑪バス板斜め張り小壁</t>
    <phoneticPr fontId="1"/>
  </si>
  <si>
    <t>⑫杉板横張り（デッキビス）</t>
    <phoneticPr fontId="1"/>
  </si>
  <si>
    <t>⑬杉板横張り（真鍮）</t>
    <phoneticPr fontId="1"/>
  </si>
  <si>
    <t>⑭杉板縦張り（デッキビス）</t>
  </si>
  <si>
    <t>⑮杉板縦張り（真鍮）</t>
    <phoneticPr fontId="1"/>
  </si>
  <si>
    <t>⑯はさみ梁</t>
  </si>
  <si>
    <t>⑰方杖</t>
  </si>
  <si>
    <t>⑱土壁(荒壁半間)</t>
    <phoneticPr fontId="1"/>
  </si>
  <si>
    <t>⑲杉板(デッキビス)小壁</t>
    <phoneticPr fontId="1"/>
  </si>
  <si>
    <t>※1）仕口 (1～4)　：　　 1：大入　　2：鎌継　　 3：CUT 　 4：通貫</t>
    <rPh sb="3" eb="4">
      <t>シ</t>
    </rPh>
    <rPh sb="4" eb="5">
      <t>グチ</t>
    </rPh>
    <phoneticPr fontId="28"/>
  </si>
  <si>
    <t>※2）縦貫 (1,2)   　：　     1：縦貫有　   2：縦貫無</t>
    <rPh sb="3" eb="4">
      <t>タテ</t>
    </rPh>
    <rPh sb="4" eb="5">
      <t>ヌキ</t>
    </rPh>
    <phoneticPr fontId="31"/>
  </si>
  <si>
    <t>基礎梁の検討（Y通り）</t>
    <phoneticPr fontId="1"/>
  </si>
  <si>
    <t>ｆｔ</t>
    <phoneticPr fontId="1"/>
  </si>
  <si>
    <t>~</t>
  </si>
  <si>
    <t>　</t>
    <phoneticPr fontId="1"/>
  </si>
  <si>
    <t>くまもと型設計法の確認申請書の添付図書の構成</t>
    <rPh sb="4" eb="5">
      <t>ガタ</t>
    </rPh>
    <rPh sb="5" eb="8">
      <t>セッケイホウ</t>
    </rPh>
    <rPh sb="9" eb="11">
      <t>カクニン</t>
    </rPh>
    <rPh sb="11" eb="14">
      <t>シンセイショ</t>
    </rPh>
    <rPh sb="15" eb="17">
      <t>テンプ</t>
    </rPh>
    <rPh sb="17" eb="19">
      <t>トショ</t>
    </rPh>
    <rPh sb="20" eb="22">
      <t>コウセイ</t>
    </rPh>
    <phoneticPr fontId="1"/>
  </si>
  <si>
    <t>・付近見取図</t>
    <rPh sb="1" eb="3">
      <t>フキン</t>
    </rPh>
    <rPh sb="3" eb="6">
      <t>ミトリズ</t>
    </rPh>
    <phoneticPr fontId="1"/>
  </si>
  <si>
    <t>・配置図</t>
    <rPh sb="1" eb="4">
      <t>ハイチズ</t>
    </rPh>
    <phoneticPr fontId="1"/>
  </si>
  <si>
    <t>・床面積求積図</t>
    <rPh sb="1" eb="4">
      <t>ユカメンセキ</t>
    </rPh>
    <rPh sb="4" eb="7">
      <t>キュウセキズ</t>
    </rPh>
    <phoneticPr fontId="1"/>
  </si>
  <si>
    <t>・各階平面図</t>
    <rPh sb="1" eb="3">
      <t>カクカイ</t>
    </rPh>
    <rPh sb="3" eb="6">
      <t>ヘイメンズ</t>
    </rPh>
    <phoneticPr fontId="1"/>
  </si>
  <si>
    <t>・立面図（2面以上）</t>
    <rPh sb="1" eb="2">
      <t>タ</t>
    </rPh>
    <rPh sb="2" eb="3">
      <t>メン</t>
    </rPh>
    <rPh sb="3" eb="4">
      <t>ズ</t>
    </rPh>
    <rPh sb="6" eb="7">
      <t>メン</t>
    </rPh>
    <rPh sb="7" eb="9">
      <t>イジョウ</t>
    </rPh>
    <phoneticPr fontId="1"/>
  </si>
  <si>
    <t>・断面図（2面以上）</t>
    <rPh sb="1" eb="3">
      <t>ダンメン</t>
    </rPh>
    <rPh sb="3" eb="4">
      <t>ズ</t>
    </rPh>
    <rPh sb="6" eb="7">
      <t>メン</t>
    </rPh>
    <rPh sb="7" eb="9">
      <t>イジョウ</t>
    </rPh>
    <phoneticPr fontId="1"/>
  </si>
  <si>
    <t>・各伏図</t>
    <rPh sb="1" eb="2">
      <t>カク</t>
    </rPh>
    <rPh sb="2" eb="3">
      <t>フ</t>
    </rPh>
    <rPh sb="3" eb="4">
      <t>ズ</t>
    </rPh>
    <phoneticPr fontId="1"/>
  </si>
  <si>
    <t>・構造計算書</t>
    <rPh sb="1" eb="6">
      <t>コウゾウケイサンショ</t>
    </rPh>
    <phoneticPr fontId="1"/>
  </si>
  <si>
    <t>・軸組図（耐力要素を拾い出したもの）</t>
    <rPh sb="1" eb="4">
      <t>ジクグミズ</t>
    </rPh>
    <rPh sb="5" eb="9">
      <t>タイリョクヨウソ</t>
    </rPh>
    <rPh sb="10" eb="11">
      <t>ヒロ</t>
    </rPh>
    <rPh sb="12" eb="13">
      <t>ダ</t>
    </rPh>
    <phoneticPr fontId="1"/>
  </si>
  <si>
    <t>・安全証明書</t>
    <rPh sb="1" eb="6">
      <t>アンゼンショウメイショ</t>
    </rPh>
    <phoneticPr fontId="1"/>
  </si>
  <si>
    <t>1.8　総合所見</t>
    <rPh sb="4" eb="6">
      <t>ソウゴウ</t>
    </rPh>
    <rPh sb="6" eb="8">
      <t>ショケン</t>
    </rPh>
    <phoneticPr fontId="1"/>
  </si>
  <si>
    <t>1.1　建物概要</t>
    <rPh sb="4" eb="6">
      <t>タテモノ</t>
    </rPh>
    <rPh sb="6" eb="8">
      <t>ガイヨウ</t>
    </rPh>
    <phoneticPr fontId="1"/>
  </si>
  <si>
    <t>1.2　構造上の特徴</t>
    <rPh sb="4" eb="6">
      <t>コウゾウ</t>
    </rPh>
    <rPh sb="6" eb="7">
      <t>ウエ</t>
    </rPh>
    <rPh sb="8" eb="10">
      <t>トクチョウ</t>
    </rPh>
    <phoneticPr fontId="1"/>
  </si>
  <si>
    <t>1.3　構造計算方針</t>
    <rPh sb="4" eb="8">
      <t>コウゾウケイサン</t>
    </rPh>
    <rPh sb="8" eb="10">
      <t>ホウシン</t>
    </rPh>
    <phoneticPr fontId="1"/>
  </si>
  <si>
    <t>1.4　使用材料と許容応力度</t>
    <rPh sb="4" eb="8">
      <t>シヨウザイリョウ</t>
    </rPh>
    <rPh sb="9" eb="11">
      <t>キョヨウ</t>
    </rPh>
    <rPh sb="11" eb="14">
      <t>オウリョクド</t>
    </rPh>
    <phoneticPr fontId="1"/>
  </si>
  <si>
    <t>1.6　チェック項目</t>
    <rPh sb="8" eb="10">
      <t>コウモク</t>
    </rPh>
    <phoneticPr fontId="1"/>
  </si>
  <si>
    <t>1.7　建物の主な材料と仕様</t>
    <rPh sb="4" eb="6">
      <t>タテモノ</t>
    </rPh>
    <rPh sb="7" eb="8">
      <t>オモ</t>
    </rPh>
    <rPh sb="9" eb="11">
      <t>ザイリョウ</t>
    </rPh>
    <rPh sb="12" eb="14">
      <t>シヨウ</t>
    </rPh>
    <phoneticPr fontId="1"/>
  </si>
  <si>
    <t>§1.構造計算概要書</t>
    <rPh sb="3" eb="7">
      <t>コウゾウケイサン</t>
    </rPh>
    <rPh sb="7" eb="10">
      <t>ガイヨウショ</t>
    </rPh>
    <phoneticPr fontId="1"/>
  </si>
  <si>
    <t>§2.構造計算書（個別計算）</t>
    <rPh sb="3" eb="8">
      <t>コウゾウケイサンショ</t>
    </rPh>
    <rPh sb="9" eb="11">
      <t>コベツ</t>
    </rPh>
    <rPh sb="11" eb="13">
      <t>ケイサン</t>
    </rPh>
    <phoneticPr fontId="1"/>
  </si>
  <si>
    <t>2.2　2次部材の検討</t>
    <rPh sb="5" eb="8">
      <t>ジブザイ</t>
    </rPh>
    <rPh sb="9" eb="11">
      <t>ケントウ</t>
    </rPh>
    <phoneticPr fontId="1"/>
  </si>
  <si>
    <t>2.3　梁の検討</t>
    <rPh sb="4" eb="5">
      <t>ハリ</t>
    </rPh>
    <rPh sb="6" eb="8">
      <t>ケントウ</t>
    </rPh>
    <phoneticPr fontId="1"/>
  </si>
  <si>
    <t>2.4　基礎の検討</t>
    <rPh sb="4" eb="6">
      <t>キソ</t>
    </rPh>
    <rPh sb="7" eb="9">
      <t>ケントウ</t>
    </rPh>
    <phoneticPr fontId="1"/>
  </si>
  <si>
    <t>2.5　補足検討</t>
    <rPh sb="4" eb="8">
      <t>ホソクケントウ</t>
    </rPh>
    <phoneticPr fontId="1"/>
  </si>
  <si>
    <t>§3.構造計算書（限界耐力計算）</t>
    <rPh sb="3" eb="8">
      <t>コウゾウケイサンショ</t>
    </rPh>
    <rPh sb="9" eb="13">
      <t>ゲンカイタイリョク</t>
    </rPh>
    <rPh sb="13" eb="15">
      <t>ケイサン</t>
    </rPh>
    <phoneticPr fontId="1"/>
  </si>
  <si>
    <t>3.1　計算モデル</t>
    <rPh sb="4" eb="6">
      <t>ケイサン</t>
    </rPh>
    <phoneticPr fontId="1"/>
  </si>
  <si>
    <t>3.3　偏心率・剛性率</t>
    <rPh sb="4" eb="7">
      <t>ヘンシンリツ</t>
    </rPh>
    <rPh sb="8" eb="11">
      <t>ゴウセイリツ</t>
    </rPh>
    <phoneticPr fontId="1"/>
  </si>
  <si>
    <t>3.2　耐力表</t>
    <rPh sb="4" eb="7">
      <t>タイリョクヒョウ</t>
    </rPh>
    <phoneticPr fontId="1"/>
  </si>
  <si>
    <t>3.4　地震時増幅解析の確認</t>
    <rPh sb="4" eb="6">
      <t>ジシン</t>
    </rPh>
    <rPh sb="6" eb="7">
      <t>ジ</t>
    </rPh>
    <rPh sb="7" eb="11">
      <t>ゾウフクカイセキ</t>
    </rPh>
    <rPh sb="12" eb="14">
      <t>カクニン</t>
    </rPh>
    <phoneticPr fontId="1"/>
  </si>
  <si>
    <t>3.5　風荷重時の確認</t>
    <rPh sb="4" eb="5">
      <t>カゼ</t>
    </rPh>
    <rPh sb="5" eb="7">
      <t>カジュウ</t>
    </rPh>
    <rPh sb="7" eb="8">
      <t>ジ</t>
    </rPh>
    <rPh sb="9" eb="11">
      <t>カクニン</t>
    </rPh>
    <phoneticPr fontId="1"/>
  </si>
  <si>
    <t>§4.添付資料</t>
    <rPh sb="3" eb="7">
      <t>テンプシリョウ</t>
    </rPh>
    <phoneticPr fontId="1"/>
  </si>
  <si>
    <t>4.2　地盤調査報告書</t>
    <rPh sb="4" eb="8">
      <t>ジバンチョウサ</t>
    </rPh>
    <rPh sb="8" eb="11">
      <t>ホウコクショ</t>
    </rPh>
    <phoneticPr fontId="1"/>
  </si>
  <si>
    <t>4.1　図面　(求積図など、確認申請書で添付の図面は不要）</t>
    <rPh sb="4" eb="6">
      <t>ズメン</t>
    </rPh>
    <rPh sb="8" eb="11">
      <t>キュウセキズ</t>
    </rPh>
    <rPh sb="14" eb="19">
      <t>カクニンシンセイショ</t>
    </rPh>
    <rPh sb="20" eb="22">
      <t>テンプ</t>
    </rPh>
    <rPh sb="23" eb="25">
      <t>ズメン</t>
    </rPh>
    <rPh sb="26" eb="28">
      <t>フヨウ</t>
    </rPh>
    <phoneticPr fontId="1"/>
  </si>
  <si>
    <t>4.4　耐力要素パラメータ　（計算書がバージョンアップして組み込まれた場合不要）</t>
    <rPh sb="4" eb="8">
      <t>タイリョクヨウソ</t>
    </rPh>
    <rPh sb="15" eb="18">
      <t>ケイサンショ</t>
    </rPh>
    <rPh sb="29" eb="30">
      <t>ク</t>
    </rPh>
    <rPh sb="31" eb="32">
      <t>コ</t>
    </rPh>
    <rPh sb="35" eb="37">
      <t>バアイ</t>
    </rPh>
    <rPh sb="37" eb="39">
      <t>フヨウ</t>
    </rPh>
    <phoneticPr fontId="1"/>
  </si>
  <si>
    <t>4.3　屋根葺き材の資料　（R4年1月1日以降は瓦に関しては告示化されるので不要）</t>
    <rPh sb="4" eb="6">
      <t>ヤネ</t>
    </rPh>
    <rPh sb="6" eb="7">
      <t>フ</t>
    </rPh>
    <rPh sb="8" eb="9">
      <t>ザイ</t>
    </rPh>
    <rPh sb="10" eb="12">
      <t>シリョウ</t>
    </rPh>
    <rPh sb="16" eb="17">
      <t>ネン</t>
    </rPh>
    <rPh sb="18" eb="19">
      <t>ツキ</t>
    </rPh>
    <rPh sb="20" eb="21">
      <t>ニチ</t>
    </rPh>
    <rPh sb="21" eb="23">
      <t>イコウ</t>
    </rPh>
    <rPh sb="24" eb="25">
      <t>カワラ</t>
    </rPh>
    <rPh sb="26" eb="27">
      <t>カン</t>
    </rPh>
    <rPh sb="30" eb="33">
      <t>コクジカ</t>
    </rPh>
    <rPh sb="38" eb="40">
      <t>フヨウ</t>
    </rPh>
    <phoneticPr fontId="1"/>
  </si>
  <si>
    <t>注意事項</t>
    <rPh sb="0" eb="4">
      <t>チュウイジコウ</t>
    </rPh>
    <phoneticPr fontId="1"/>
  </si>
  <si>
    <t>1. 黄色のセルを記入または、変更してください。</t>
    <rPh sb="3" eb="5">
      <t>キイロ</t>
    </rPh>
    <rPh sb="9" eb="11">
      <t>キニュウ</t>
    </rPh>
    <rPh sb="15" eb="17">
      <t>ヘンコウ</t>
    </rPh>
    <phoneticPr fontId="1"/>
  </si>
  <si>
    <t>2. 必要に応じて、行の追加や削除を行ってください。</t>
    <rPh sb="3" eb="5">
      <t>ヒツヨウ</t>
    </rPh>
    <rPh sb="6" eb="7">
      <t>オウ</t>
    </rPh>
    <rPh sb="10" eb="11">
      <t>ギョウ</t>
    </rPh>
    <rPh sb="12" eb="14">
      <t>ツイカ</t>
    </rPh>
    <rPh sb="15" eb="17">
      <t>サクジョ</t>
    </rPh>
    <rPh sb="18" eb="19">
      <t>オコナ</t>
    </rPh>
    <phoneticPr fontId="1"/>
  </si>
  <si>
    <t>3.　計算式などが入っている部分は保護を行っております。</t>
    <rPh sb="3" eb="6">
      <t>ケイサンシキ</t>
    </rPh>
    <rPh sb="9" eb="10">
      <t>ハイ</t>
    </rPh>
    <rPh sb="14" eb="16">
      <t>ブブン</t>
    </rPh>
    <rPh sb="17" eb="19">
      <t>ホゴ</t>
    </rPh>
    <rPh sb="20" eb="21">
      <t>オコナ</t>
    </rPh>
    <phoneticPr fontId="1"/>
  </si>
  <si>
    <t>4.　作成中保護をどうしても外さないといけない場合は、「校閲」→「シート保護の解除」にて解除してください。パスワードは設定していません。</t>
    <rPh sb="3" eb="6">
      <t>サクセイチュウ</t>
    </rPh>
    <rPh sb="6" eb="8">
      <t>ホゴ</t>
    </rPh>
    <rPh sb="14" eb="15">
      <t>ハズ</t>
    </rPh>
    <rPh sb="23" eb="25">
      <t>バアイ</t>
    </rPh>
    <rPh sb="28" eb="30">
      <t>コウエツ</t>
    </rPh>
    <rPh sb="36" eb="38">
      <t>ホゴ</t>
    </rPh>
    <rPh sb="39" eb="41">
      <t>カイジョ</t>
    </rPh>
    <rPh sb="44" eb="46">
      <t>カイジョ</t>
    </rPh>
    <rPh sb="59" eb="61">
      <t>セッテイ</t>
    </rPh>
    <phoneticPr fontId="1"/>
  </si>
  <si>
    <t>5.　シート保護の解除を行う際は数式等を変更しないようにしてください。</t>
    <rPh sb="6" eb="8">
      <t>ホゴ</t>
    </rPh>
    <rPh sb="9" eb="11">
      <t>カイジョ</t>
    </rPh>
    <rPh sb="12" eb="13">
      <t>オコナ</t>
    </rPh>
    <rPh sb="14" eb="15">
      <t>サイ</t>
    </rPh>
    <rPh sb="16" eb="19">
      <t>スウシキトウ</t>
    </rPh>
    <rPh sb="20" eb="22">
      <t>ヘンコウ</t>
    </rPh>
    <phoneticPr fontId="1"/>
  </si>
  <si>
    <t>4.4</t>
    <phoneticPr fontId="1"/>
  </si>
  <si>
    <t>耐力要素のパラメータ</t>
    <rPh sb="0" eb="4">
      <t>タイリョクヨウソ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</si>
</sst>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0_ "/>
    <numFmt numFmtId="178" formatCode="0.00_);[Red]\(0.00\)"/>
    <numFmt numFmtId="179" formatCode="0.0_ "/>
    <numFmt numFmtId="180" formatCode="#,##0.00_ "/>
    <numFmt numFmtId="181" formatCode="[$-411]ggge&quot;年&quot;m&quot;月&quot;d&quot;日&quot;;@"/>
    <numFmt numFmtId="182" formatCode="#,##0.000_ "/>
    <numFmt numFmtId="183" formatCode="0_);[Red]\(0\)"/>
    <numFmt numFmtId="184" formatCode="#,##0_);[Red]\(#,##0\)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平成明朝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u/>
      <sz val="10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9CC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23" fillId="0" borderId="0" applyNumberFormat="0" applyFill="0" applyBorder="0" applyAlignment="0" applyProtection="0">
      <alignment vertical="center"/>
    </xf>
  </cellStyleXfs>
  <cellXfs count="6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justify" vertical="center"/>
    </xf>
    <xf numFmtId="49" fontId="3" fillId="0" borderId="0" xfId="0" applyNumberFormat="1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178" fontId="13" fillId="0" borderId="0" xfId="0" applyNumberFormat="1" applyFont="1">
      <alignment vertical="center"/>
    </xf>
    <xf numFmtId="178" fontId="13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3" borderId="12" xfId="1" applyFont="1" applyFill="1" applyBorder="1" applyAlignment="1">
      <alignment vertical="center"/>
    </xf>
    <xf numFmtId="0" fontId="18" fillId="3" borderId="14" xfId="1" applyFont="1" applyFill="1" applyBorder="1" applyAlignment="1">
      <alignment horizontal="left" vertical="center"/>
    </xf>
    <xf numFmtId="178" fontId="18" fillId="3" borderId="14" xfId="1" applyNumberFormat="1" applyFont="1" applyFill="1" applyBorder="1" applyAlignment="1">
      <alignment horizontal="left" vertical="center"/>
    </xf>
    <xf numFmtId="178" fontId="18" fillId="3" borderId="14" xfId="1" applyNumberFormat="1" applyFont="1" applyFill="1" applyBorder="1" applyAlignment="1">
      <alignment horizontal="center" vertical="center"/>
    </xf>
    <xf numFmtId="177" fontId="18" fillId="0" borderId="13" xfId="1" applyNumberFormat="1" applyFont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18" fillId="0" borderId="14" xfId="1" applyFont="1" applyBorder="1" applyAlignment="1">
      <alignment vertical="center"/>
    </xf>
    <xf numFmtId="0" fontId="18" fillId="0" borderId="14" xfId="1" applyFont="1" applyBorder="1" applyAlignment="1">
      <alignment horizontal="left" vertical="center"/>
    </xf>
    <xf numFmtId="0" fontId="13" fillId="0" borderId="14" xfId="0" applyFont="1" applyBorder="1">
      <alignment vertical="center"/>
    </xf>
    <xf numFmtId="178" fontId="18" fillId="0" borderId="14" xfId="1" applyNumberFormat="1" applyFont="1" applyBorder="1" applyAlignment="1">
      <alignment horizontal="center" vertical="center"/>
    </xf>
    <xf numFmtId="178" fontId="18" fillId="0" borderId="14" xfId="1" applyNumberFormat="1" applyFont="1" applyBorder="1" applyAlignment="1">
      <alignment horizontal="left" vertical="center"/>
    </xf>
    <xf numFmtId="178" fontId="18" fillId="0" borderId="14" xfId="1" applyNumberFormat="1" applyFont="1" applyBorder="1" applyAlignment="1">
      <alignment vertical="center"/>
    </xf>
    <xf numFmtId="0" fontId="19" fillId="0" borderId="12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78" fontId="19" fillId="0" borderId="14" xfId="1" applyNumberFormat="1" applyFont="1" applyBorder="1" applyAlignment="1">
      <alignment horizontal="left" vertical="center"/>
    </xf>
    <xf numFmtId="178" fontId="13" fillId="0" borderId="14" xfId="1" applyNumberFormat="1" applyFont="1" applyBorder="1" applyAlignment="1">
      <alignment horizontal="left" vertical="center"/>
    </xf>
    <xf numFmtId="178" fontId="13" fillId="0" borderId="14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178" fontId="18" fillId="0" borderId="3" xfId="1" applyNumberFormat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6" xfId="1" applyFont="1" applyBorder="1" applyAlignment="1">
      <alignment horizontal="center" vertical="center"/>
    </xf>
    <xf numFmtId="178" fontId="18" fillId="0" borderId="6" xfId="1" applyNumberFormat="1" applyFont="1" applyBorder="1" applyAlignment="1">
      <alignment horizontal="center" vertical="center"/>
    </xf>
    <xf numFmtId="178" fontId="18" fillId="3" borderId="6" xfId="1" applyNumberFormat="1" applyFont="1" applyFill="1" applyBorder="1" applyAlignment="1">
      <alignment horizontal="center" vertical="center"/>
    </xf>
    <xf numFmtId="177" fontId="18" fillId="0" borderId="7" xfId="1" applyNumberFormat="1" applyFont="1" applyBorder="1" applyAlignment="1">
      <alignment vertical="center"/>
    </xf>
    <xf numFmtId="0" fontId="18" fillId="0" borderId="3" xfId="1" applyFont="1" applyBorder="1" applyAlignment="1">
      <alignment horizontal="left" vertical="center"/>
    </xf>
    <xf numFmtId="177" fontId="18" fillId="0" borderId="4" xfId="1" applyNumberFormat="1" applyFont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0" fontId="18" fillId="0" borderId="3" xfId="1" applyFont="1" applyFill="1" applyBorder="1" applyAlignment="1">
      <alignment vertical="center"/>
    </xf>
    <xf numFmtId="178" fontId="18" fillId="0" borderId="3" xfId="1" applyNumberFormat="1" applyFont="1" applyFill="1" applyBorder="1" applyAlignment="1">
      <alignment vertical="center"/>
    </xf>
    <xf numFmtId="0" fontId="18" fillId="0" borderId="4" xfId="1" applyFont="1" applyFill="1" applyBorder="1" applyAlignment="1">
      <alignment vertical="center"/>
    </xf>
    <xf numFmtId="0" fontId="18" fillId="0" borderId="5" xfId="1" applyFont="1" applyFill="1" applyBorder="1" applyAlignment="1">
      <alignment horizontal="left" vertical="center"/>
    </xf>
    <xf numFmtId="0" fontId="18" fillId="0" borderId="6" xfId="1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18" fillId="3" borderId="5" xfId="1" applyFont="1" applyFill="1" applyBorder="1" applyAlignment="1">
      <alignment vertical="center"/>
    </xf>
    <xf numFmtId="0" fontId="18" fillId="3" borderId="6" xfId="1" applyFont="1" applyFill="1" applyBorder="1" applyAlignment="1">
      <alignment horizontal="left" vertical="center"/>
    </xf>
    <xf numFmtId="0" fontId="20" fillId="0" borderId="0" xfId="0" applyFont="1">
      <alignment vertical="center"/>
    </xf>
    <xf numFmtId="177" fontId="3" fillId="0" borderId="0" xfId="0" applyNumberFormat="1" applyFont="1">
      <alignment vertical="center"/>
    </xf>
    <xf numFmtId="177" fontId="20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9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8" fillId="2" borderId="14" xfId="1" applyFont="1" applyFill="1" applyBorder="1" applyAlignment="1" applyProtection="1">
      <alignment horizontal="left" vertical="center"/>
      <protection locked="0"/>
    </xf>
    <xf numFmtId="0" fontId="18" fillId="2" borderId="6" xfId="1" applyFont="1" applyFill="1" applyBorder="1" applyAlignment="1" applyProtection="1">
      <alignment horizontal="left" vertical="center"/>
      <protection locked="0"/>
    </xf>
    <xf numFmtId="0" fontId="18" fillId="2" borderId="14" xfId="1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Protection="1">
      <alignment vertical="center"/>
      <protection locked="0"/>
    </xf>
    <xf numFmtId="0" fontId="18" fillId="2" borderId="14" xfId="1" applyFont="1" applyFill="1" applyBorder="1" applyAlignment="1" applyProtection="1">
      <alignment horizontal="center" vertical="center"/>
      <protection locked="0"/>
    </xf>
    <xf numFmtId="0" fontId="18" fillId="2" borderId="3" xfId="1" applyFont="1" applyFill="1" applyBorder="1" applyAlignment="1" applyProtection="1">
      <alignment vertical="center"/>
      <protection locked="0"/>
    </xf>
    <xf numFmtId="0" fontId="18" fillId="2" borderId="3" xfId="1" applyFont="1" applyFill="1" applyBorder="1" applyAlignment="1" applyProtection="1">
      <alignment horizontal="center" vertical="center"/>
      <protection locked="0"/>
    </xf>
    <xf numFmtId="0" fontId="18" fillId="0" borderId="3" xfId="1" applyFont="1" applyFill="1" applyBorder="1" applyAlignment="1" applyProtection="1">
      <alignment vertical="center"/>
    </xf>
    <xf numFmtId="49" fontId="3" fillId="2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8" fontId="18" fillId="0" borderId="14" xfId="1" applyNumberFormat="1" applyFont="1" applyBorder="1" applyAlignment="1">
      <alignment horizontal="center" vertical="center"/>
    </xf>
    <xf numFmtId="178" fontId="18" fillId="0" borderId="6" xfId="1" applyNumberFormat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178" fontId="18" fillId="3" borderId="14" xfId="1" applyNumberFormat="1" applyFont="1" applyFill="1" applyBorder="1" applyAlignment="1">
      <alignment horizontal="center" vertical="center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0" fontId="18" fillId="3" borderId="12" xfId="1" applyFont="1" applyFill="1" applyBorder="1" applyAlignment="1" applyProtection="1">
      <alignment horizontal="left" vertical="center"/>
      <protection locked="0"/>
    </xf>
    <xf numFmtId="0" fontId="18" fillId="3" borderId="14" xfId="1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Protection="1">
      <alignment vertical="center"/>
      <protection locked="0"/>
    </xf>
    <xf numFmtId="178" fontId="18" fillId="3" borderId="14" xfId="1" applyNumberFormat="1" applyFont="1" applyFill="1" applyBorder="1" applyAlignment="1" applyProtection="1">
      <alignment horizontal="left" vertical="center"/>
      <protection locked="0"/>
    </xf>
    <xf numFmtId="0" fontId="18" fillId="0" borderId="12" xfId="1" applyFont="1" applyBorder="1" applyAlignment="1" applyProtection="1">
      <alignment horizontal="left" vertical="center"/>
      <protection locked="0"/>
    </xf>
    <xf numFmtId="0" fontId="18" fillId="0" borderId="14" xfId="1" applyFont="1" applyBorder="1" applyAlignment="1" applyProtection="1">
      <alignment horizontal="left" vertical="center"/>
      <protection locked="0"/>
    </xf>
    <xf numFmtId="0" fontId="13" fillId="0" borderId="14" xfId="0" applyFont="1" applyBorder="1" applyProtection="1">
      <alignment vertical="center"/>
      <protection locked="0"/>
    </xf>
    <xf numFmtId="20" fontId="18" fillId="0" borderId="14" xfId="1" applyNumberFormat="1" applyFont="1" applyBorder="1" applyAlignment="1" applyProtection="1">
      <alignment horizontal="left" vertical="center"/>
      <protection locked="0"/>
    </xf>
    <xf numFmtId="178" fontId="18" fillId="0" borderId="14" xfId="1" applyNumberFormat="1" applyFont="1" applyBorder="1" applyAlignment="1" applyProtection="1">
      <alignment horizontal="left" vertical="center"/>
      <protection locked="0"/>
    </xf>
    <xf numFmtId="0" fontId="18" fillId="0" borderId="6" xfId="1" applyFont="1" applyBorder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8" fillId="0" borderId="2" xfId="1" applyFont="1" applyBorder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178" fontId="18" fillId="0" borderId="3" xfId="1" applyNumberFormat="1" applyFont="1" applyBorder="1" applyAlignment="1" applyProtection="1">
      <alignment horizontal="center" vertical="center"/>
      <protection locked="0"/>
    </xf>
    <xf numFmtId="178" fontId="18" fillId="3" borderId="3" xfId="1" applyNumberFormat="1" applyFont="1" applyFill="1" applyBorder="1" applyAlignment="1" applyProtection="1">
      <alignment horizontal="center" vertical="center"/>
      <protection locked="0"/>
    </xf>
    <xf numFmtId="0" fontId="18" fillId="0" borderId="5" xfId="1" applyFont="1" applyBorder="1" applyAlignment="1" applyProtection="1">
      <alignment horizontal="left" vertical="center"/>
      <protection locked="0"/>
    </xf>
    <xf numFmtId="178" fontId="18" fillId="0" borderId="6" xfId="1" applyNumberFormat="1" applyFont="1" applyBorder="1" applyAlignment="1" applyProtection="1">
      <alignment horizontal="left" vertical="center"/>
      <protection locked="0"/>
    </xf>
    <xf numFmtId="178" fontId="18" fillId="3" borderId="6" xfId="1" applyNumberFormat="1" applyFont="1" applyFill="1" applyBorder="1" applyAlignment="1" applyProtection="1">
      <alignment horizontal="center" vertical="center"/>
      <protection locked="0"/>
    </xf>
    <xf numFmtId="178" fontId="18" fillId="0" borderId="6" xfId="1" applyNumberFormat="1" applyFont="1" applyBorder="1" applyAlignment="1" applyProtection="1">
      <alignment horizontal="center" vertical="center"/>
      <protection locked="0"/>
    </xf>
    <xf numFmtId="178" fontId="18" fillId="3" borderId="14" xfId="1" applyNumberFormat="1" applyFont="1" applyFill="1" applyBorder="1" applyAlignment="1" applyProtection="1">
      <alignment horizontal="center" vertical="center"/>
      <protection locked="0"/>
    </xf>
    <xf numFmtId="178" fontId="18" fillId="0" borderId="14" xfId="1" applyNumberFormat="1" applyFont="1" applyBorder="1" applyAlignment="1" applyProtection="1">
      <alignment horizontal="center" vertical="center"/>
      <protection locked="0"/>
    </xf>
    <xf numFmtId="0" fontId="18" fillId="0" borderId="2" xfId="1" applyFont="1" applyFill="1" applyBorder="1" applyAlignment="1" applyProtection="1">
      <alignment horizontal="left" vertical="center"/>
      <protection locked="0"/>
    </xf>
    <xf numFmtId="0" fontId="18" fillId="0" borderId="3" xfId="1" applyFont="1" applyFill="1" applyBorder="1" applyAlignment="1" applyProtection="1">
      <alignment horizontal="left" vertical="center"/>
      <protection locked="0"/>
    </xf>
    <xf numFmtId="178" fontId="18" fillId="0" borderId="3" xfId="1" applyNumberFormat="1" applyFont="1" applyFill="1" applyBorder="1" applyAlignment="1" applyProtection="1">
      <alignment horizontal="left" vertical="center"/>
      <protection locked="0"/>
    </xf>
    <xf numFmtId="0" fontId="18" fillId="0" borderId="5" xfId="1" applyFont="1" applyFill="1" applyBorder="1" applyAlignment="1" applyProtection="1">
      <alignment horizontal="left" vertical="center"/>
      <protection locked="0"/>
    </xf>
    <xf numFmtId="0" fontId="18" fillId="0" borderId="6" xfId="1" applyFont="1" applyFill="1" applyBorder="1" applyAlignment="1" applyProtection="1">
      <alignment horizontal="left" vertical="center"/>
      <protection locked="0"/>
    </xf>
    <xf numFmtId="178" fontId="18" fillId="0" borderId="6" xfId="1" applyNumberFormat="1" applyFont="1" applyFill="1" applyBorder="1" applyAlignment="1" applyProtection="1">
      <alignment horizontal="left" vertical="center"/>
      <protection locked="0"/>
    </xf>
    <xf numFmtId="178" fontId="18" fillId="0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176" fontId="1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4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1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177" fontId="3" fillId="2" borderId="0" xfId="0" applyNumberFormat="1" applyFont="1" applyFill="1">
      <alignment vertical="center"/>
    </xf>
    <xf numFmtId="0" fontId="14" fillId="0" borderId="0" xfId="0" applyFont="1" applyBorder="1">
      <alignment vertical="center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0" fillId="0" borderId="3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13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4" fillId="0" borderId="0" xfId="0" applyFont="1">
      <alignment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9" fillId="0" borderId="0" xfId="3" applyFont="1" applyAlignment="1">
      <alignment vertical="center"/>
    </xf>
    <xf numFmtId="0" fontId="3" fillId="0" borderId="0" xfId="0" applyFont="1" applyProtection="1">
      <alignment vertical="center"/>
      <protection hidden="1"/>
    </xf>
    <xf numFmtId="177" fontId="9" fillId="2" borderId="12" xfId="1" applyNumberFormat="1" applyFont="1" applyFill="1" applyBorder="1" applyAlignment="1" applyProtection="1">
      <alignment horizontal="center" vertical="center"/>
      <protection locked="0" hidden="1"/>
    </xf>
    <xf numFmtId="49" fontId="13" fillId="0" borderId="0" xfId="0" applyNumberFormat="1" applyFont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178" fontId="3" fillId="0" borderId="0" xfId="0" applyNumberFormat="1" applyFont="1" applyAlignment="1" applyProtection="1">
      <alignment horizontal="center" vertical="center"/>
      <protection locked="0" hidden="1"/>
    </xf>
    <xf numFmtId="177" fontId="3" fillId="0" borderId="0" xfId="0" applyNumberFormat="1" applyFont="1" applyAlignment="1" applyProtection="1">
      <alignment vertical="center"/>
      <protection locked="0" hidden="1"/>
    </xf>
    <xf numFmtId="178" fontId="9" fillId="0" borderId="0" xfId="1" applyNumberFormat="1" applyFont="1" applyAlignment="1" applyProtection="1">
      <alignment horizontal="center" vertical="center"/>
      <protection locked="0" hidden="1"/>
    </xf>
    <xf numFmtId="177" fontId="9" fillId="0" borderId="0" xfId="1" applyNumberFormat="1" applyFont="1" applyAlignment="1" applyProtection="1">
      <alignment vertical="center"/>
      <protection locked="0" hidden="1"/>
    </xf>
    <xf numFmtId="0" fontId="9" fillId="0" borderId="0" xfId="1" applyFont="1" applyAlignment="1" applyProtection="1">
      <alignment vertical="center"/>
      <protection locked="0" hidden="1"/>
    </xf>
    <xf numFmtId="0" fontId="9" fillId="0" borderId="0" xfId="1" applyFont="1" applyBorder="1" applyAlignment="1" applyProtection="1">
      <alignment horizontal="left" vertical="center"/>
      <protection locked="0" hidden="1"/>
    </xf>
    <xf numFmtId="0" fontId="8" fillId="0" borderId="0" xfId="1" applyFont="1" applyBorder="1" applyAlignment="1" applyProtection="1">
      <alignment horizontal="left" vertical="center" indent="1"/>
      <protection locked="0" hidden="1"/>
    </xf>
    <xf numFmtId="0" fontId="8" fillId="0" borderId="1" xfId="1" applyFont="1" applyBorder="1" applyAlignment="1" applyProtection="1">
      <alignment vertical="center"/>
      <protection locked="0" hidden="1"/>
    </xf>
    <xf numFmtId="0" fontId="4" fillId="0" borderId="1" xfId="1" applyFont="1" applyBorder="1" applyAlignment="1" applyProtection="1">
      <alignment horizontal="center" vertical="center"/>
      <protection locked="0" hidden="1"/>
    </xf>
    <xf numFmtId="178" fontId="3" fillId="0" borderId="12" xfId="1" applyNumberFormat="1" applyFont="1" applyBorder="1" applyAlignment="1" applyProtection="1">
      <alignment horizontal="center" vertical="center"/>
      <protection locked="0" hidden="1"/>
    </xf>
    <xf numFmtId="177" fontId="9" fillId="0" borderId="13" xfId="1" applyNumberFormat="1" applyFont="1" applyBorder="1" applyAlignment="1" applyProtection="1">
      <alignment vertical="center"/>
      <protection locked="0" hidden="1"/>
    </xf>
    <xf numFmtId="177" fontId="9" fillId="0" borderId="13" xfId="1" applyNumberFormat="1" applyFont="1" applyBorder="1" applyAlignment="1" applyProtection="1">
      <alignment horizontal="center" vertical="center"/>
      <protection locked="0" hidden="1"/>
    </xf>
    <xf numFmtId="0" fontId="11" fillId="0" borderId="1" xfId="1" applyFont="1" applyBorder="1" applyAlignment="1" applyProtection="1">
      <alignment horizontal="center" vertical="center"/>
      <protection locked="0" hidden="1"/>
    </xf>
    <xf numFmtId="0" fontId="9" fillId="0" borderId="0" xfId="1" applyFont="1" applyBorder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178" fontId="3" fillId="0" borderId="0" xfId="0" applyNumberFormat="1" applyFont="1" applyBorder="1" applyAlignment="1" applyProtection="1">
      <alignment horizontal="center" vertical="center"/>
      <protection locked="0" hidden="1"/>
    </xf>
    <xf numFmtId="0" fontId="9" fillId="0" borderId="13" xfId="1" applyFont="1" applyBorder="1" applyAlignment="1" applyProtection="1">
      <alignment vertical="center"/>
      <protection locked="0" hidden="1"/>
    </xf>
    <xf numFmtId="178" fontId="9" fillId="0" borderId="0" xfId="1" applyNumberFormat="1" applyFont="1" applyBorder="1" applyAlignment="1" applyProtection="1">
      <alignment horizontal="right" vertical="center"/>
      <protection locked="0" hidden="1"/>
    </xf>
    <xf numFmtId="0" fontId="9" fillId="0" borderId="0" xfId="1" applyFont="1" applyBorder="1" applyAlignment="1" applyProtection="1">
      <alignment horizontal="right" vertical="center"/>
      <protection locked="0" hidden="1"/>
    </xf>
    <xf numFmtId="0" fontId="9" fillId="0" borderId="0" xfId="1" applyFont="1" applyBorder="1" applyAlignment="1" applyProtection="1">
      <alignment horizontal="left" vertical="center" indent="1"/>
      <protection locked="0" hidden="1"/>
    </xf>
    <xf numFmtId="0" fontId="9" fillId="0" borderId="0" xfId="1" applyFont="1" applyBorder="1" applyAlignment="1" applyProtection="1">
      <alignment horizontal="center" vertical="center"/>
      <protection locked="0" hidden="1"/>
    </xf>
    <xf numFmtId="178" fontId="3" fillId="0" borderId="0" xfId="0" applyNumberFormat="1" applyFont="1" applyBorder="1" applyAlignment="1" applyProtection="1">
      <alignment horizontal="right" vertical="center"/>
      <protection locked="0" hidden="1"/>
    </xf>
    <xf numFmtId="49" fontId="3" fillId="0" borderId="0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 applyProtection="1">
      <alignment horizontal="center" vertical="center" wrapText="1"/>
      <protection locked="0" hidden="1"/>
    </xf>
    <xf numFmtId="49" fontId="14" fillId="0" borderId="0" xfId="0" applyNumberFormat="1" applyFont="1" applyBorder="1" applyAlignment="1" applyProtection="1">
      <alignment horizontal="left" vertical="center" wrapText="1"/>
      <protection locked="0" hidden="1"/>
    </xf>
    <xf numFmtId="177" fontId="9" fillId="0" borderId="0" xfId="1" applyNumberFormat="1" applyFont="1" applyBorder="1" applyAlignment="1" applyProtection="1">
      <alignment vertical="center"/>
      <protection locked="0" hidden="1"/>
    </xf>
    <xf numFmtId="178" fontId="9" fillId="0" borderId="8" xfId="1" applyNumberFormat="1" applyFont="1" applyBorder="1" applyAlignment="1" applyProtection="1">
      <alignment vertical="center"/>
      <protection locked="0" hidden="1"/>
    </xf>
    <xf numFmtId="176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176" fontId="2" fillId="2" borderId="0" xfId="0" applyNumberFormat="1" applyFont="1" applyFill="1" applyAlignment="1">
      <alignment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82" fontId="2" fillId="2" borderId="1" xfId="0" applyNumberFormat="1" applyFont="1" applyFill="1" applyBorder="1" applyAlignment="1">
      <alignment horizontal="center" vertical="center" shrinkToFit="1"/>
    </xf>
    <xf numFmtId="182" fontId="2" fillId="0" borderId="1" xfId="0" applyNumberFormat="1" applyFont="1" applyBorder="1" applyAlignment="1">
      <alignment horizontal="center" vertical="center" shrinkToFit="1"/>
    </xf>
    <xf numFmtId="182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82" fontId="2" fillId="0" borderId="12" xfId="0" applyNumberFormat="1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left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176" fontId="2" fillId="2" borderId="1" xfId="0" applyNumberFormat="1" applyFont="1" applyFill="1" applyBorder="1" applyAlignment="1">
      <alignment horizontal="left" vertical="center" shrinkToFit="1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1" fillId="0" borderId="10" xfId="0" applyNumberFormat="1" applyFont="1" applyBorder="1" applyAlignment="1">
      <alignment vertical="center" shrinkToFi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indent="2"/>
      <protection locked="0"/>
    </xf>
    <xf numFmtId="0" fontId="2" fillId="2" borderId="0" xfId="0" applyFont="1" applyFill="1">
      <alignment vertical="center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6" fillId="0" borderId="0" xfId="0" applyFont="1">
      <alignment vertical="center"/>
    </xf>
    <xf numFmtId="49" fontId="27" fillId="5" borderId="21" xfId="0" applyNumberFormat="1" applyFont="1" applyFill="1" applyBorder="1" applyAlignment="1">
      <alignment horizontal="center" vertical="center" shrinkToFit="1"/>
    </xf>
    <xf numFmtId="49" fontId="27" fillId="5" borderId="22" xfId="0" applyNumberFormat="1" applyFont="1" applyFill="1" applyBorder="1" applyAlignment="1">
      <alignment horizontal="center" vertical="center" shrinkToFit="1"/>
    </xf>
    <xf numFmtId="49" fontId="27" fillId="5" borderId="23" xfId="0" applyNumberFormat="1" applyFont="1" applyFill="1" applyBorder="1" applyAlignment="1">
      <alignment horizontal="center" vertical="center" shrinkToFit="1"/>
    </xf>
    <xf numFmtId="0" fontId="27" fillId="6" borderId="24" xfId="0" applyFont="1" applyFill="1" applyBorder="1" applyAlignment="1">
      <alignment horizontal="left" vertical="center" shrinkToFit="1"/>
    </xf>
    <xf numFmtId="184" fontId="29" fillId="0" borderId="17" xfId="0" applyNumberFormat="1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7" fillId="7" borderId="27" xfId="0" applyFont="1" applyFill="1" applyBorder="1" applyAlignment="1">
      <alignment horizontal="left" vertical="center" shrinkToFit="1"/>
    </xf>
    <xf numFmtId="0" fontId="29" fillId="0" borderId="28" xfId="0" applyFont="1" applyBorder="1" applyAlignment="1" applyProtection="1">
      <alignment horizontal="left" vertical="center" shrinkToFit="1"/>
      <protection locked="0"/>
    </xf>
    <xf numFmtId="0" fontId="29" fillId="0" borderId="1" xfId="0" applyFont="1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7" fillId="8" borderId="27" xfId="0" applyFont="1" applyFill="1" applyBorder="1" applyAlignment="1">
      <alignment horizontal="left" vertical="center" shrinkToFit="1"/>
    </xf>
    <xf numFmtId="184" fontId="29" fillId="0" borderId="28" xfId="0" applyNumberFormat="1" applyFont="1" applyBorder="1" applyAlignment="1" applyProtection="1">
      <alignment horizontal="left" vertical="center" shrinkToFit="1"/>
      <protection locked="0"/>
    </xf>
    <xf numFmtId="0" fontId="27" fillId="9" borderId="27" xfId="0" applyFont="1" applyFill="1" applyBorder="1" applyAlignment="1">
      <alignment horizontal="left" vertical="center" shrinkToFit="1"/>
    </xf>
    <xf numFmtId="184" fontId="29" fillId="0" borderId="1" xfId="0" applyNumberFormat="1" applyFont="1" applyBorder="1" applyAlignment="1" applyProtection="1">
      <alignment horizontal="left" vertical="center" shrinkToFit="1"/>
      <protection locked="0"/>
    </xf>
    <xf numFmtId="0" fontId="29" fillId="0" borderId="31" xfId="0" applyFont="1" applyBorder="1" applyAlignment="1" applyProtection="1">
      <alignment horizontal="left" vertical="center" shrinkToFit="1"/>
      <protection locked="0"/>
    </xf>
    <xf numFmtId="0" fontId="27" fillId="10" borderId="27" xfId="0" applyFont="1" applyFill="1" applyBorder="1" applyAlignment="1">
      <alignment horizontal="left" vertical="center" shrinkToFit="1"/>
    </xf>
    <xf numFmtId="0" fontId="27" fillId="11" borderId="27" xfId="0" applyFont="1" applyFill="1" applyBorder="1" applyAlignment="1">
      <alignment horizontal="left" vertical="center" shrinkToFit="1"/>
    </xf>
    <xf numFmtId="0" fontId="27" fillId="12" borderId="27" xfId="0" applyFont="1" applyFill="1" applyBorder="1" applyAlignment="1">
      <alignment horizontal="left" vertical="center" shrinkToFit="1"/>
    </xf>
    <xf numFmtId="0" fontId="32" fillId="0" borderId="27" xfId="0" applyFont="1" applyBorder="1" applyAlignment="1">
      <alignment vertical="center" shrinkToFit="1"/>
    </xf>
    <xf numFmtId="0" fontId="0" fillId="0" borderId="32" xfId="0" applyBorder="1" applyAlignment="1">
      <alignment horizontal="left" vertical="center"/>
    </xf>
    <xf numFmtId="0" fontId="32" fillId="0" borderId="20" xfId="0" applyFont="1" applyBorder="1" applyAlignment="1">
      <alignment vertical="center" shrinkToFit="1"/>
    </xf>
    <xf numFmtId="184" fontId="29" fillId="0" borderId="21" xfId="0" applyNumberFormat="1" applyFont="1" applyBorder="1" applyAlignment="1" applyProtection="1">
      <alignment horizontal="left" vertical="center" shrinkToFit="1"/>
      <protection locked="0"/>
    </xf>
    <xf numFmtId="184" fontId="29" fillId="0" borderId="22" xfId="0" applyNumberFormat="1" applyFont="1" applyBorder="1" applyAlignment="1" applyProtection="1">
      <alignment horizontal="left" vertical="center" shrinkToFit="1"/>
      <protection locked="0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2" xfId="0" applyNumberFormat="1" applyFont="1" applyFill="1" applyBorder="1" applyAlignment="1">
      <alignment horizontal="center" vertical="center" shrinkToFit="1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1" fontId="0" fillId="2" borderId="0" xfId="0" applyNumberForma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17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3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183" fontId="3" fillId="2" borderId="0" xfId="0" applyNumberFormat="1" applyFont="1" applyFill="1" applyAlignment="1" applyProtection="1">
      <alignment horizontal="center" vertical="center"/>
      <protection locked="0"/>
    </xf>
    <xf numFmtId="178" fontId="3" fillId="2" borderId="0" xfId="0" applyNumberFormat="1" applyFont="1" applyFill="1" applyAlignment="1" applyProtection="1">
      <alignment horizontal="center" vertical="center"/>
      <protection locked="0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8" fontId="18" fillId="0" borderId="6" xfId="1" applyNumberFormat="1" applyFont="1" applyBorder="1" applyAlignment="1">
      <alignment horizontal="center" vertical="center"/>
    </xf>
    <xf numFmtId="0" fontId="19" fillId="2" borderId="10" xfId="1" applyFont="1" applyFill="1" applyBorder="1" applyAlignment="1" applyProtection="1">
      <alignment horizontal="center" vertical="center"/>
      <protection locked="0"/>
    </xf>
    <xf numFmtId="0" fontId="19" fillId="2" borderId="11" xfId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178" fontId="18" fillId="0" borderId="14" xfId="1" applyNumberFormat="1" applyFont="1" applyBorder="1" applyAlignment="1">
      <alignment horizontal="center" vertical="center"/>
    </xf>
    <xf numFmtId="178" fontId="13" fillId="0" borderId="14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178" fontId="18" fillId="3" borderId="14" xfId="1" applyNumberFormat="1" applyFont="1" applyFill="1" applyBorder="1" applyAlignment="1">
      <alignment horizontal="center" vertical="center"/>
    </xf>
    <xf numFmtId="178" fontId="13" fillId="2" borderId="14" xfId="1" applyNumberFormat="1" applyFont="1" applyFill="1" applyBorder="1" applyAlignment="1" applyProtection="1">
      <alignment horizontal="center" vertical="center"/>
      <protection locked="0"/>
    </xf>
    <xf numFmtId="0" fontId="18" fillId="3" borderId="14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7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77" fontId="9" fillId="0" borderId="12" xfId="1" applyNumberFormat="1" applyFont="1" applyBorder="1" applyAlignment="1" applyProtection="1">
      <alignment horizontal="center" vertical="center"/>
      <protection locked="0" hidden="1"/>
    </xf>
    <xf numFmtId="177" fontId="9" fillId="0" borderId="13" xfId="1" applyNumberFormat="1" applyFont="1" applyBorder="1" applyAlignment="1" applyProtection="1">
      <alignment horizontal="center" vertical="center"/>
      <protection locked="0" hidden="1"/>
    </xf>
    <xf numFmtId="0" fontId="9" fillId="0" borderId="12" xfId="1" applyFont="1" applyBorder="1" applyAlignment="1" applyProtection="1">
      <alignment horizontal="left" vertical="center"/>
      <protection locked="0" hidden="1"/>
    </xf>
    <xf numFmtId="0" fontId="9" fillId="0" borderId="14" xfId="1" applyFont="1" applyBorder="1" applyAlignment="1" applyProtection="1">
      <alignment horizontal="left" vertical="center"/>
      <protection locked="0" hidden="1"/>
    </xf>
    <xf numFmtId="0" fontId="9" fillId="0" borderId="13" xfId="1" applyFont="1" applyBorder="1" applyAlignment="1" applyProtection="1">
      <alignment horizontal="left" vertical="center"/>
      <protection locked="0" hidden="1"/>
    </xf>
    <xf numFmtId="0" fontId="9" fillId="0" borderId="12" xfId="1" applyFont="1" applyFill="1" applyBorder="1" applyAlignment="1" applyProtection="1">
      <alignment horizontal="left" vertical="center"/>
      <protection locked="0" hidden="1"/>
    </xf>
    <xf numFmtId="0" fontId="9" fillId="0" borderId="14" xfId="1" applyFont="1" applyFill="1" applyBorder="1" applyAlignment="1" applyProtection="1">
      <alignment horizontal="left" vertical="center"/>
      <protection locked="0" hidden="1"/>
    </xf>
    <xf numFmtId="0" fontId="9" fillId="0" borderId="13" xfId="1" applyFont="1" applyFill="1" applyBorder="1" applyAlignment="1" applyProtection="1">
      <alignment horizontal="left" vertical="center"/>
      <protection locked="0" hidden="1"/>
    </xf>
    <xf numFmtId="177" fontId="9" fillId="0" borderId="2" xfId="1" applyNumberFormat="1" applyFont="1" applyBorder="1" applyAlignment="1" applyProtection="1">
      <alignment horizontal="center" vertical="center"/>
      <protection locked="0" hidden="1"/>
    </xf>
    <xf numFmtId="177" fontId="9" fillId="0" borderId="4" xfId="1" applyNumberFormat="1" applyFont="1" applyBorder="1" applyAlignment="1" applyProtection="1">
      <alignment horizontal="center" vertical="center"/>
      <protection locked="0" hidden="1"/>
    </xf>
    <xf numFmtId="177" fontId="9" fillId="0" borderId="8" xfId="1" applyNumberFormat="1" applyFont="1" applyBorder="1" applyAlignment="1" applyProtection="1">
      <alignment horizontal="center" vertical="center"/>
      <protection locked="0" hidden="1"/>
    </xf>
    <xf numFmtId="177" fontId="9" fillId="0" borderId="9" xfId="1" applyNumberFormat="1" applyFont="1" applyBorder="1" applyAlignment="1" applyProtection="1">
      <alignment horizontal="center" vertical="center"/>
      <protection locked="0" hidden="1"/>
    </xf>
    <xf numFmtId="177" fontId="9" fillId="0" borderId="5" xfId="1" applyNumberFormat="1" applyFont="1" applyBorder="1" applyAlignment="1" applyProtection="1">
      <alignment horizontal="center" vertical="center"/>
      <protection locked="0" hidden="1"/>
    </xf>
    <xf numFmtId="177" fontId="9" fillId="0" borderId="7" xfId="1" applyNumberFormat="1" applyFont="1" applyBorder="1" applyAlignment="1" applyProtection="1">
      <alignment horizontal="center" vertical="center"/>
      <protection locked="0" hidden="1"/>
    </xf>
    <xf numFmtId="49" fontId="14" fillId="0" borderId="0" xfId="0" applyNumberFormat="1" applyFont="1" applyBorder="1" applyAlignment="1" applyProtection="1">
      <alignment horizontal="left" vertical="center" wrapText="1"/>
      <protection locked="0" hidden="1"/>
    </xf>
    <xf numFmtId="0" fontId="9" fillId="0" borderId="12" xfId="1" applyFont="1" applyBorder="1" applyAlignment="1" applyProtection="1">
      <alignment horizontal="left" vertical="center" indent="1"/>
      <protection locked="0" hidden="1"/>
    </xf>
    <xf numFmtId="0" fontId="9" fillId="0" borderId="13" xfId="1" applyFont="1" applyBorder="1" applyAlignment="1" applyProtection="1">
      <alignment horizontal="left" vertical="center" indent="1"/>
      <protection locked="0" hidden="1"/>
    </xf>
    <xf numFmtId="0" fontId="9" fillId="0" borderId="14" xfId="1" applyFont="1" applyBorder="1" applyAlignment="1" applyProtection="1">
      <alignment horizontal="center" vertical="center"/>
      <protection locked="0" hidden="1"/>
    </xf>
    <xf numFmtId="0" fontId="9" fillId="0" borderId="13" xfId="1" applyFont="1" applyBorder="1" applyAlignment="1" applyProtection="1">
      <alignment horizontal="center" vertical="center"/>
      <protection locked="0" hidden="1"/>
    </xf>
    <xf numFmtId="0" fontId="9" fillId="0" borderId="12" xfId="1" applyFont="1" applyBorder="1" applyAlignment="1" applyProtection="1">
      <alignment horizontal="center" vertical="center"/>
      <protection locked="0" hidden="1"/>
    </xf>
    <xf numFmtId="178" fontId="3" fillId="0" borderId="12" xfId="0" applyNumberFormat="1" applyFont="1" applyBorder="1" applyAlignment="1" applyProtection="1">
      <alignment horizontal="right" vertical="center"/>
      <protection locked="0" hidden="1"/>
    </xf>
    <xf numFmtId="178" fontId="3" fillId="0" borderId="14" xfId="0" applyNumberFormat="1" applyFont="1" applyBorder="1" applyAlignment="1" applyProtection="1">
      <alignment horizontal="right" vertical="center"/>
      <protection locked="0" hidden="1"/>
    </xf>
    <xf numFmtId="178" fontId="3" fillId="0" borderId="12" xfId="0" applyNumberFormat="1" applyFont="1" applyBorder="1" applyAlignment="1" applyProtection="1">
      <alignment horizontal="center" vertical="center"/>
      <protection locked="0" hidden="1"/>
    </xf>
    <xf numFmtId="178" fontId="3" fillId="0" borderId="14" xfId="0" applyNumberFormat="1" applyFont="1" applyBorder="1" applyAlignment="1" applyProtection="1">
      <alignment horizontal="center" vertical="center"/>
      <protection locked="0" hidden="1"/>
    </xf>
    <xf numFmtId="178" fontId="3" fillId="0" borderId="13" xfId="0" applyNumberFormat="1" applyFont="1" applyBorder="1" applyAlignment="1" applyProtection="1">
      <alignment horizontal="center" vertical="center"/>
      <protection locked="0" hidden="1"/>
    </xf>
    <xf numFmtId="0" fontId="11" fillId="0" borderId="10" xfId="1" applyFont="1" applyBorder="1" applyAlignment="1" applyProtection="1">
      <alignment horizontal="center" vertical="center"/>
      <protection locked="0" hidden="1"/>
    </xf>
    <xf numFmtId="0" fontId="11" fillId="0" borderId="15" xfId="1" applyFont="1" applyBorder="1" applyAlignment="1" applyProtection="1">
      <alignment horizontal="center" vertical="center"/>
      <protection locked="0" hidden="1"/>
    </xf>
    <xf numFmtId="0" fontId="11" fillId="0" borderId="11" xfId="1" applyFont="1" applyBorder="1" applyAlignment="1" applyProtection="1">
      <alignment horizontal="center" vertical="center"/>
      <protection locked="0" hidden="1"/>
    </xf>
    <xf numFmtId="177" fontId="3" fillId="0" borderId="12" xfId="0" applyNumberFormat="1" applyFont="1" applyBorder="1" applyAlignment="1" applyProtection="1">
      <alignment horizontal="right" vertical="center"/>
      <protection locked="0" hidden="1"/>
    </xf>
    <xf numFmtId="0" fontId="3" fillId="0" borderId="12" xfId="1" applyFont="1" applyBorder="1" applyAlignment="1" applyProtection="1">
      <alignment horizontal="left" vertical="center"/>
      <protection locked="0" hidden="1"/>
    </xf>
    <xf numFmtId="0" fontId="3" fillId="0" borderId="14" xfId="1" applyFont="1" applyBorder="1" applyAlignment="1" applyProtection="1">
      <alignment horizontal="left" vertical="center"/>
      <protection locked="0" hidden="1"/>
    </xf>
    <xf numFmtId="0" fontId="3" fillId="0" borderId="13" xfId="1" applyFont="1" applyBorder="1" applyAlignment="1" applyProtection="1">
      <alignment horizontal="left" vertical="center"/>
      <protection locked="0" hidden="1"/>
    </xf>
    <xf numFmtId="0" fontId="9" fillId="3" borderId="12" xfId="1" applyFont="1" applyFill="1" applyBorder="1" applyAlignment="1" applyProtection="1">
      <alignment horizontal="left" vertical="center"/>
      <protection locked="0" hidden="1"/>
    </xf>
    <xf numFmtId="0" fontId="9" fillId="3" borderId="14" xfId="1" applyFont="1" applyFill="1" applyBorder="1" applyAlignment="1" applyProtection="1">
      <alignment horizontal="left" vertical="center"/>
      <protection locked="0" hidden="1"/>
    </xf>
    <xf numFmtId="0" fontId="9" fillId="3" borderId="13" xfId="1" applyFont="1" applyFill="1" applyBorder="1" applyAlignment="1" applyProtection="1">
      <alignment horizontal="left" vertical="center"/>
      <protection locked="0" hidden="1"/>
    </xf>
    <xf numFmtId="0" fontId="22" fillId="0" borderId="0" xfId="1" applyFont="1" applyAlignment="1" applyProtection="1">
      <alignment horizontal="left" vertical="center"/>
      <protection locked="0" hidden="1"/>
    </xf>
    <xf numFmtId="0" fontId="9" fillId="0" borderId="6" xfId="1" applyFont="1" applyBorder="1" applyAlignment="1" applyProtection="1">
      <alignment horizontal="left" vertical="center"/>
      <protection locked="0" hidden="1"/>
    </xf>
    <xf numFmtId="178" fontId="9" fillId="0" borderId="12" xfId="1" applyNumberFormat="1" applyFont="1" applyBorder="1" applyAlignment="1" applyProtection="1">
      <alignment horizontal="center" vertical="center"/>
      <protection locked="0" hidden="1"/>
    </xf>
    <xf numFmtId="178" fontId="9" fillId="0" borderId="13" xfId="1" applyNumberFormat="1" applyFont="1" applyBorder="1" applyAlignment="1" applyProtection="1">
      <alignment horizontal="center" vertical="center"/>
      <protection locked="0" hidden="1"/>
    </xf>
    <xf numFmtId="178" fontId="3" fillId="0" borderId="12" xfId="1" applyNumberFormat="1" applyFont="1" applyBorder="1" applyAlignment="1" applyProtection="1">
      <alignment horizontal="center" vertical="center"/>
      <protection locked="0" hidden="1"/>
    </xf>
    <xf numFmtId="178" fontId="3" fillId="0" borderId="14" xfId="1" applyNumberFormat="1" applyFont="1" applyBorder="1" applyAlignment="1" applyProtection="1">
      <alignment horizontal="center" vertical="center"/>
      <protection locked="0" hidden="1"/>
    </xf>
    <xf numFmtId="178" fontId="3" fillId="0" borderId="13" xfId="1" applyNumberFormat="1" applyFont="1" applyBorder="1" applyAlignment="1" applyProtection="1">
      <alignment horizontal="center" vertical="center"/>
      <protection locked="0" hidden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5" fillId="2" borderId="1" xfId="4" applyNumberFormat="1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1" xfId="0" applyNumberFormat="1" applyFont="1" applyBorder="1" applyAlignment="1">
      <alignment horizontal="center" vertical="center" shrinkToFit="1"/>
    </xf>
    <xf numFmtId="180" fontId="2" fillId="2" borderId="12" xfId="0" applyNumberFormat="1" applyFont="1" applyFill="1" applyBorder="1" applyAlignment="1">
      <alignment horizontal="center" vertical="center" shrinkToFit="1"/>
    </xf>
    <xf numFmtId="180" fontId="2" fillId="2" borderId="13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176" fontId="2" fillId="2" borderId="5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2" borderId="12" xfId="0" applyNumberFormat="1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left" vertical="center"/>
    </xf>
    <xf numFmtId="176" fontId="3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 shrinkToFit="1"/>
    </xf>
    <xf numFmtId="176" fontId="21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center" vertical="center" shrinkToFit="1"/>
    </xf>
    <xf numFmtId="180" fontId="2" fillId="2" borderId="4" xfId="0" applyNumberFormat="1" applyFont="1" applyFill="1" applyBorder="1" applyAlignment="1">
      <alignment horizontal="center" vertical="center" shrinkToFit="1"/>
    </xf>
    <xf numFmtId="180" fontId="2" fillId="2" borderId="8" xfId="0" applyNumberFormat="1" applyFont="1" applyFill="1" applyBorder="1" applyAlignment="1">
      <alignment horizontal="center" vertical="center" shrinkToFit="1"/>
    </xf>
    <xf numFmtId="180" fontId="2" fillId="2" borderId="9" xfId="0" applyNumberFormat="1" applyFont="1" applyFill="1" applyBorder="1" applyAlignment="1">
      <alignment horizontal="center" vertical="center" shrinkToFit="1"/>
    </xf>
    <xf numFmtId="180" fontId="2" fillId="2" borderId="5" xfId="0" applyNumberFormat="1" applyFont="1" applyFill="1" applyBorder="1" applyAlignment="1">
      <alignment horizontal="center" vertical="center" shrinkToFit="1"/>
    </xf>
    <xf numFmtId="180" fontId="2" fillId="2" borderId="7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49" fontId="27" fillId="4" borderId="16" xfId="0" applyNumberFormat="1" applyFont="1" applyFill="1" applyBorder="1" applyAlignment="1">
      <alignment horizontal="center" vertical="center" shrinkToFit="1"/>
    </xf>
    <xf numFmtId="49" fontId="27" fillId="4" borderId="20" xfId="0" applyNumberFormat="1" applyFont="1" applyFill="1" applyBorder="1" applyAlignment="1">
      <alignment horizontal="center" vertical="center" shrinkToFit="1"/>
    </xf>
    <xf numFmtId="49" fontId="27" fillId="5" borderId="17" xfId="0" applyNumberFormat="1" applyFont="1" applyFill="1" applyBorder="1" applyAlignment="1">
      <alignment horizontal="center" vertical="center" shrinkToFit="1"/>
    </xf>
    <xf numFmtId="49" fontId="27" fillId="5" borderId="18" xfId="0" applyNumberFormat="1" applyFont="1" applyFill="1" applyBorder="1" applyAlignment="1">
      <alignment horizontal="center" vertical="center" shrinkToFit="1"/>
    </xf>
    <xf numFmtId="49" fontId="27" fillId="5" borderId="19" xfId="0" applyNumberFormat="1" applyFont="1" applyFill="1" applyBorder="1" applyAlignment="1">
      <alignment horizontal="center" vertical="center" shrinkToFit="1"/>
    </xf>
  </cellXfs>
  <cellStyles count="5">
    <cellStyle name="パーセント 2" xfId="2" xr:uid="{00000000-0005-0000-0000-000000000000}"/>
    <cellStyle name="ハイパーリンク" xfId="4" builtinId="8"/>
    <cellStyle name="標準" xfId="0" builtinId="0"/>
    <cellStyle name="標準 2" xfId="1" xr:uid="{00000000-0005-0000-0000-000003000000}"/>
    <cellStyle name="標準 3" xfId="3" xr:uid="{00000000-0005-0000-0000-000004000000}"/>
  </cellStyles>
  <dxfs count="2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2574</xdr:colOff>
      <xdr:row>62</xdr:row>
      <xdr:rowOff>2574</xdr:rowOff>
    </xdr:from>
    <xdr:to>
      <xdr:col>6</xdr:col>
      <xdr:colOff>2381</xdr:colOff>
      <xdr:row>66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2CC7FDB-09DB-4B44-B806-65D136195C77}"/>
            </a:ext>
          </a:extLst>
        </xdr:cNvPr>
        <xdr:cNvCxnSpPr/>
      </xdr:nvCxnSpPr>
      <xdr:spPr>
        <a:xfrm>
          <a:off x="231174" y="745524"/>
          <a:ext cx="2190557" cy="82610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B558-F19E-4317-B7D8-B7FB2128E095}">
  <dimension ref="B5:D42"/>
  <sheetViews>
    <sheetView tabSelected="1" workbookViewId="0">
      <selection activeCell="A3" sqref="A3"/>
    </sheetView>
  </sheetViews>
  <sheetFormatPr defaultRowHeight="13.5"/>
  <cols>
    <col min="2" max="2" width="5.75" customWidth="1"/>
    <col min="3" max="3" width="7.125" customWidth="1"/>
    <col min="4" max="4" width="25.375" bestFit="1" customWidth="1"/>
  </cols>
  <sheetData>
    <row r="5" spans="2:2" ht="21">
      <c r="B5" s="342" t="s">
        <v>592</v>
      </c>
    </row>
    <row r="7" spans="2:2">
      <c r="B7" t="s">
        <v>593</v>
      </c>
    </row>
    <row r="8" spans="2:2">
      <c r="B8" t="s">
        <v>594</v>
      </c>
    </row>
    <row r="9" spans="2:2">
      <c r="B9" t="s">
        <v>595</v>
      </c>
    </row>
    <row r="10" spans="2:2">
      <c r="B10" t="s">
        <v>596</v>
      </c>
    </row>
    <row r="11" spans="2:2">
      <c r="B11" t="s">
        <v>597</v>
      </c>
    </row>
    <row r="12" spans="2:2">
      <c r="B12" t="s">
        <v>598</v>
      </c>
    </row>
    <row r="13" spans="2:2">
      <c r="B13" t="s">
        <v>599</v>
      </c>
    </row>
    <row r="14" spans="2:2">
      <c r="B14" t="s">
        <v>601</v>
      </c>
    </row>
    <row r="15" spans="2:2">
      <c r="B15" t="s">
        <v>602</v>
      </c>
    </row>
    <row r="16" spans="2:2">
      <c r="B16" t="s">
        <v>600</v>
      </c>
    </row>
    <row r="17" spans="3:4">
      <c r="C17" t="s">
        <v>610</v>
      </c>
    </row>
    <row r="18" spans="3:4">
      <c r="D18" t="s">
        <v>604</v>
      </c>
    </row>
    <row r="19" spans="3:4">
      <c r="D19" t="s">
        <v>605</v>
      </c>
    </row>
    <row r="20" spans="3:4">
      <c r="D20" t="s">
        <v>606</v>
      </c>
    </row>
    <row r="21" spans="3:4">
      <c r="D21" t="s">
        <v>607</v>
      </c>
    </row>
    <row r="22" spans="3:4">
      <c r="D22" t="s">
        <v>307</v>
      </c>
    </row>
    <row r="23" spans="3:4">
      <c r="D23" t="s">
        <v>608</v>
      </c>
    </row>
    <row r="24" spans="3:4">
      <c r="D24" t="s">
        <v>609</v>
      </c>
    </row>
    <row r="25" spans="3:4">
      <c r="D25" t="s">
        <v>603</v>
      </c>
    </row>
    <row r="26" spans="3:4">
      <c r="C26" t="s">
        <v>611</v>
      </c>
    </row>
    <row r="27" spans="3:4">
      <c r="D27" t="s">
        <v>304</v>
      </c>
    </row>
    <row r="28" spans="3:4">
      <c r="D28" t="s">
        <v>612</v>
      </c>
    </row>
    <row r="29" spans="3:4">
      <c r="D29" t="s">
        <v>613</v>
      </c>
    </row>
    <row r="30" spans="3:4">
      <c r="D30" t="s">
        <v>614</v>
      </c>
    </row>
    <row r="31" spans="3:4">
      <c r="D31" t="s">
        <v>615</v>
      </c>
    </row>
    <row r="32" spans="3:4">
      <c r="C32" t="s">
        <v>616</v>
      </c>
    </row>
    <row r="33" spans="3:4">
      <c r="D33" t="s">
        <v>617</v>
      </c>
    </row>
    <row r="34" spans="3:4">
      <c r="D34" t="s">
        <v>619</v>
      </c>
    </row>
    <row r="35" spans="3:4">
      <c r="D35" t="s">
        <v>618</v>
      </c>
    </row>
    <row r="36" spans="3:4">
      <c r="D36" t="s">
        <v>620</v>
      </c>
    </row>
    <row r="37" spans="3:4">
      <c r="D37" t="s">
        <v>621</v>
      </c>
    </row>
    <row r="38" spans="3:4">
      <c r="C38" t="s">
        <v>622</v>
      </c>
    </row>
    <row r="39" spans="3:4">
      <c r="D39" t="s">
        <v>624</v>
      </c>
    </row>
    <row r="40" spans="3:4">
      <c r="D40" t="s">
        <v>623</v>
      </c>
    </row>
    <row r="41" spans="3:4">
      <c r="D41" t="s">
        <v>626</v>
      </c>
    </row>
    <row r="42" spans="3:4">
      <c r="D42" t="s">
        <v>625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42"/>
  <sheetViews>
    <sheetView zoomScaleNormal="100" workbookViewId="0">
      <selection activeCell="D1" sqref="D1"/>
    </sheetView>
  </sheetViews>
  <sheetFormatPr defaultColWidth="9" defaultRowHeight="20.100000000000001" customHeight="1"/>
  <cols>
    <col min="1" max="1" width="0.25" style="16" customWidth="1"/>
    <col min="2" max="2" width="2.75" style="16" customWidth="1"/>
    <col min="3" max="3" width="4.625" style="19" customWidth="1"/>
    <col min="4" max="4" width="5.125" style="19" customWidth="1"/>
    <col min="5" max="5" width="9.75" style="16" bestFit="1" customWidth="1"/>
    <col min="6" max="9" width="4.625" style="16" customWidth="1"/>
    <col min="10" max="10" width="8.625" style="16" customWidth="1"/>
    <col min="11" max="12" width="4.625" style="16" customWidth="1"/>
    <col min="13" max="13" width="8.625" style="16" customWidth="1"/>
    <col min="14" max="14" width="2.375" style="16" bestFit="1" customWidth="1"/>
    <col min="15" max="15" width="5.375" style="16" customWidth="1"/>
    <col min="16" max="16" width="2.375" style="16" bestFit="1" customWidth="1"/>
    <col min="17" max="17" width="6.25" style="16" customWidth="1"/>
    <col min="18" max="18" width="4" style="16" customWidth="1"/>
    <col min="19" max="19" width="0.375" style="16" customWidth="1"/>
    <col min="20" max="20" width="10.5" style="16" bestFit="1" customWidth="1"/>
    <col min="21" max="23" width="9" style="16"/>
    <col min="24" max="24" width="13.75" style="16" customWidth="1"/>
    <col min="25" max="25" width="8.375" style="16" customWidth="1"/>
    <col min="26" max="26" width="3.375" style="16" hidden="1" customWidth="1"/>
    <col min="27" max="27" width="12.625" style="16" customWidth="1"/>
    <col min="28" max="16384" width="9" style="16"/>
  </cols>
  <sheetData>
    <row r="1" spans="2:18" ht="21.75" customHeight="1">
      <c r="B1" s="22" t="s">
        <v>441</v>
      </c>
      <c r="C1" s="22"/>
      <c r="D1" s="22"/>
    </row>
    <row r="2" spans="2:18" ht="20.100000000000001" customHeight="1">
      <c r="B2" s="22" t="s">
        <v>236</v>
      </c>
      <c r="C2" s="115" t="s">
        <v>237</v>
      </c>
      <c r="D2" s="115"/>
    </row>
    <row r="3" spans="2:18" ht="20.100000000000001" customHeight="1">
      <c r="C3" s="16" t="s">
        <v>187</v>
      </c>
      <c r="D3" s="16"/>
    </row>
    <row r="4" spans="2:18" ht="20.100000000000001" customHeight="1">
      <c r="C4" s="612" t="s">
        <v>505</v>
      </c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</row>
    <row r="5" spans="2:18" ht="20.100000000000001" customHeight="1">
      <c r="C5" s="157" t="s">
        <v>192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2:18" ht="20.100000000000001" customHeight="1">
      <c r="C6" s="363" t="s">
        <v>188</v>
      </c>
      <c r="D6" s="363"/>
      <c r="E6" s="363"/>
      <c r="F6" s="363"/>
      <c r="G6" s="363"/>
      <c r="H6" s="363"/>
      <c r="I6" s="363"/>
      <c r="J6" s="363"/>
      <c r="K6" s="363" t="s">
        <v>191</v>
      </c>
      <c r="L6" s="363"/>
      <c r="M6" s="363"/>
      <c r="N6" s="363"/>
      <c r="O6" s="363"/>
      <c r="P6" s="363"/>
      <c r="Q6" s="363"/>
      <c r="R6" s="363"/>
    </row>
    <row r="7" spans="2:18" ht="20.100000000000001" customHeight="1">
      <c r="C7" s="613" t="s">
        <v>189</v>
      </c>
      <c r="D7" s="613"/>
      <c r="E7" s="613"/>
      <c r="F7" s="613"/>
      <c r="G7" s="613"/>
      <c r="H7" s="613"/>
      <c r="I7" s="613"/>
      <c r="J7" s="613"/>
      <c r="K7" s="355"/>
      <c r="L7" s="355"/>
      <c r="M7" s="355"/>
      <c r="N7" s="355"/>
      <c r="O7" s="355"/>
      <c r="P7" s="355"/>
      <c r="Q7" s="355"/>
      <c r="R7" s="355"/>
    </row>
    <row r="8" spans="2:18" ht="20.100000000000001" customHeight="1">
      <c r="C8" s="613" t="s">
        <v>190</v>
      </c>
      <c r="D8" s="613"/>
      <c r="E8" s="613"/>
      <c r="F8" s="613"/>
      <c r="G8" s="613"/>
      <c r="H8" s="613"/>
      <c r="I8" s="613"/>
      <c r="J8" s="613"/>
      <c r="K8" s="355"/>
      <c r="L8" s="355"/>
      <c r="M8" s="355"/>
      <c r="N8" s="355"/>
      <c r="O8" s="355"/>
      <c r="P8" s="355"/>
      <c r="Q8" s="355"/>
      <c r="R8" s="355"/>
    </row>
    <row r="9" spans="2:18" ht="20.100000000000001" customHeight="1">
      <c r="C9" s="613" t="s">
        <v>506</v>
      </c>
      <c r="D9" s="613"/>
      <c r="E9" s="613"/>
      <c r="F9" s="613"/>
      <c r="G9" s="613"/>
      <c r="H9" s="613"/>
      <c r="I9" s="613"/>
      <c r="J9" s="613"/>
      <c r="K9" s="355"/>
      <c r="L9" s="355"/>
      <c r="M9" s="355"/>
      <c r="N9" s="355"/>
      <c r="O9" s="355"/>
      <c r="P9" s="355"/>
      <c r="Q9" s="355"/>
      <c r="R9" s="355"/>
    </row>
    <row r="10" spans="2:18" ht="9" customHeight="1"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</row>
    <row r="11" spans="2:18" ht="20.100000000000001" customHeight="1">
      <c r="C11" s="157" t="s">
        <v>275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</row>
    <row r="12" spans="2:18" ht="20.100000000000001" customHeight="1">
      <c r="C12" s="16" t="s">
        <v>444</v>
      </c>
      <c r="E12" s="16" t="s">
        <v>437</v>
      </c>
    </row>
    <row r="13" spans="2:18" ht="20.100000000000001" customHeight="1">
      <c r="C13" s="348" t="s">
        <v>429</v>
      </c>
      <c r="D13" s="348"/>
      <c r="E13" s="16" t="s">
        <v>430</v>
      </c>
    </row>
    <row r="14" spans="2:18" ht="20.100000000000001" customHeight="1">
      <c r="C14" s="16" t="s">
        <v>426</v>
      </c>
      <c r="D14" s="165"/>
      <c r="E14" s="88"/>
    </row>
    <row r="15" spans="2:18" ht="20.100000000000001" customHeight="1">
      <c r="C15" s="348" t="s">
        <v>431</v>
      </c>
      <c r="D15" s="348"/>
      <c r="E15" s="88">
        <f>'2.1荷重表示'!J30</f>
        <v>0</v>
      </c>
      <c r="F15" s="16" t="s">
        <v>428</v>
      </c>
    </row>
    <row r="16" spans="2:18" ht="20.100000000000001" customHeight="1">
      <c r="C16" s="166" t="s">
        <v>432</v>
      </c>
      <c r="D16" s="165"/>
      <c r="E16" s="88"/>
    </row>
    <row r="17" spans="3:10" ht="20.100000000000001" customHeight="1">
      <c r="C17" s="348" t="s">
        <v>433</v>
      </c>
      <c r="D17" s="348"/>
      <c r="E17" s="169"/>
      <c r="F17" s="16" t="s">
        <v>428</v>
      </c>
    </row>
    <row r="18" spans="3:10" ht="19.5" customHeight="1">
      <c r="C18" s="16" t="s">
        <v>186</v>
      </c>
      <c r="D18" s="29"/>
      <c r="F18" s="165"/>
      <c r="G18" s="614"/>
      <c r="H18" s="614"/>
      <c r="J18" s="115"/>
    </row>
    <row r="19" spans="3:10" ht="20.100000000000001" customHeight="1">
      <c r="C19" s="348" t="s">
        <v>429</v>
      </c>
      <c r="D19" s="348"/>
      <c r="E19" s="88">
        <f>E17+E15*0.48</f>
        <v>0</v>
      </c>
      <c r="F19" s="16" t="s">
        <v>428</v>
      </c>
    </row>
    <row r="20" spans="3:10" ht="6.75" customHeight="1">
      <c r="C20" s="165"/>
      <c r="D20" s="165"/>
      <c r="E20" s="88"/>
    </row>
    <row r="21" spans="3:10" ht="20.100000000000001" customHeight="1">
      <c r="C21" s="348" t="s">
        <v>277</v>
      </c>
      <c r="D21" s="348"/>
      <c r="E21" s="16" t="s">
        <v>423</v>
      </c>
    </row>
    <row r="22" spans="3:10" ht="20.100000000000001" customHeight="1">
      <c r="C22" s="16" t="s">
        <v>424</v>
      </c>
      <c r="D22" s="16"/>
    </row>
    <row r="23" spans="3:10" ht="20.100000000000001" customHeight="1">
      <c r="C23" s="348" t="s">
        <v>425</v>
      </c>
      <c r="D23" s="348"/>
      <c r="E23" s="155"/>
    </row>
    <row r="24" spans="3:10" ht="20.100000000000001" customHeight="1">
      <c r="C24" s="16" t="s">
        <v>426</v>
      </c>
      <c r="D24" s="16"/>
      <c r="E24" s="154"/>
    </row>
    <row r="25" spans="3:10" ht="20.100000000000001" customHeight="1">
      <c r="C25" s="348" t="s">
        <v>427</v>
      </c>
      <c r="D25" s="348"/>
      <c r="E25" s="171">
        <f>'2.1荷重表示'!J31</f>
        <v>0</v>
      </c>
      <c r="F25" s="16" t="s">
        <v>428</v>
      </c>
    </row>
    <row r="26" spans="3:10" ht="20.100000000000001" customHeight="1">
      <c r="C26" s="16" t="s">
        <v>186</v>
      </c>
      <c r="D26" s="29"/>
      <c r="F26" s="154"/>
    </row>
    <row r="27" spans="3:10" ht="20.100000000000001" customHeight="1">
      <c r="C27" s="348" t="s">
        <v>277</v>
      </c>
      <c r="D27" s="348"/>
      <c r="E27" s="88">
        <f>E23*E25</f>
        <v>0</v>
      </c>
      <c r="F27" s="16" t="s">
        <v>428</v>
      </c>
    </row>
    <row r="28" spans="3:10" ht="6.75" customHeight="1">
      <c r="C28" s="16"/>
      <c r="D28" s="16"/>
      <c r="E28" s="165"/>
      <c r="F28" s="15"/>
      <c r="G28" s="15"/>
      <c r="H28" s="22"/>
      <c r="I28" s="22"/>
      <c r="J28" s="167"/>
    </row>
    <row r="29" spans="3:10" ht="20.100000000000001" customHeight="1">
      <c r="C29" s="16" t="s">
        <v>186</v>
      </c>
      <c r="D29" s="16"/>
      <c r="E29" s="165"/>
      <c r="F29" s="15"/>
      <c r="G29" s="15"/>
      <c r="H29" s="22"/>
      <c r="I29" s="22"/>
      <c r="J29" s="167"/>
    </row>
    <row r="30" spans="3:10" ht="20.100000000000001" customHeight="1">
      <c r="C30" s="348" t="s">
        <v>429</v>
      </c>
      <c r="D30" s="348"/>
      <c r="E30" s="156">
        <f>E19</f>
        <v>0</v>
      </c>
      <c r="F30" s="348" t="str">
        <f>IF(J30&gt;=E30,"≦","＞")</f>
        <v>≦</v>
      </c>
      <c r="G30" s="348"/>
      <c r="H30" s="348" t="s">
        <v>277</v>
      </c>
      <c r="I30" s="348"/>
      <c r="J30" s="88">
        <f>E27</f>
        <v>0</v>
      </c>
    </row>
    <row r="31" spans="3:10" ht="20.100000000000001" customHeight="1">
      <c r="C31" s="16" t="s">
        <v>185</v>
      </c>
      <c r="D31" s="16"/>
      <c r="E31" s="16" t="str">
        <f>IF(J30&gt;=E30,"柱脚の滑りによる移動は生じない","NG")</f>
        <v>柱脚の滑りによる移動は生じない</v>
      </c>
    </row>
    <row r="32" spans="3:10" ht="13.5">
      <c r="C32" s="16"/>
      <c r="D32" s="16"/>
    </row>
    <row r="33" spans="3:11" ht="20.100000000000001" customHeight="1">
      <c r="C33" s="166" t="s">
        <v>276</v>
      </c>
      <c r="D33" s="166"/>
    </row>
    <row r="34" spans="3:11" ht="20.100000000000001" customHeight="1">
      <c r="C34" s="16" t="s">
        <v>438</v>
      </c>
      <c r="D34" s="16"/>
      <c r="E34" s="16" t="s">
        <v>437</v>
      </c>
    </row>
    <row r="35" spans="3:11" ht="20.100000000000001" customHeight="1">
      <c r="C35" s="16" t="s">
        <v>434</v>
      </c>
      <c r="D35" s="16"/>
    </row>
    <row r="36" spans="3:11" ht="20.100000000000001" customHeight="1">
      <c r="C36" s="16" t="s">
        <v>435</v>
      </c>
      <c r="D36" s="115"/>
      <c r="E36" s="168"/>
    </row>
    <row r="37" spans="3:11" ht="20.100000000000001" customHeight="1">
      <c r="C37" s="348" t="s">
        <v>278</v>
      </c>
      <c r="D37" s="348"/>
      <c r="E37" s="113"/>
      <c r="F37" s="615" t="s">
        <v>428</v>
      </c>
      <c r="G37" s="615"/>
    </row>
    <row r="38" spans="3:11" ht="20.100000000000001" customHeight="1">
      <c r="C38" s="348" t="s">
        <v>277</v>
      </c>
      <c r="D38" s="348"/>
      <c r="E38" s="88">
        <f>J30</f>
        <v>0</v>
      </c>
      <c r="F38" s="615" t="s">
        <v>428</v>
      </c>
      <c r="G38" s="615"/>
    </row>
    <row r="39" spans="3:11" ht="6" customHeight="1">
      <c r="C39" s="87"/>
      <c r="D39" s="87"/>
      <c r="J39" s="89"/>
      <c r="K39" s="87"/>
    </row>
    <row r="40" spans="3:11" ht="20.100000000000001" customHeight="1">
      <c r="C40" s="16" t="s">
        <v>186</v>
      </c>
      <c r="D40" s="16"/>
    </row>
    <row r="41" spans="3:11" ht="20.100000000000001" customHeight="1">
      <c r="C41" s="115" t="s">
        <v>278</v>
      </c>
      <c r="D41" s="115"/>
      <c r="E41" s="88">
        <f>E37</f>
        <v>0</v>
      </c>
      <c r="F41" s="348" t="str">
        <f>IF(E41&gt;J41,"＞","≦")</f>
        <v>≦</v>
      </c>
      <c r="G41" s="348"/>
      <c r="H41" s="348" t="s">
        <v>277</v>
      </c>
      <c r="I41" s="348"/>
      <c r="J41" s="88">
        <f>E38</f>
        <v>0</v>
      </c>
    </row>
    <row r="42" spans="3:11" ht="20.100000000000001" customHeight="1">
      <c r="C42" s="348" t="s">
        <v>436</v>
      </c>
      <c r="D42" s="348"/>
      <c r="E42" s="16" t="str">
        <f>IF(J41&gt;=E41,"柱脚の滑りによる移動は生じない","NG")</f>
        <v>柱脚の滑りによる移動は生じない</v>
      </c>
    </row>
  </sheetData>
  <sheetProtection insertRows="0" deleteRows="0" selectLockedCells="1"/>
  <mergeCells count="28">
    <mergeCell ref="C38:D38"/>
    <mergeCell ref="C8:J8"/>
    <mergeCell ref="C15:D15"/>
    <mergeCell ref="C37:D37"/>
    <mergeCell ref="C42:D42"/>
    <mergeCell ref="C17:D17"/>
    <mergeCell ref="C19:D19"/>
    <mergeCell ref="H30:I30"/>
    <mergeCell ref="C25:D25"/>
    <mergeCell ref="F41:G41"/>
    <mergeCell ref="H41:I41"/>
    <mergeCell ref="F37:G37"/>
    <mergeCell ref="F38:G38"/>
    <mergeCell ref="C30:D30"/>
    <mergeCell ref="F30:G30"/>
    <mergeCell ref="C4:Q4"/>
    <mergeCell ref="C6:J6"/>
    <mergeCell ref="K6:R6"/>
    <mergeCell ref="C27:D27"/>
    <mergeCell ref="C13:D13"/>
    <mergeCell ref="K8:R8"/>
    <mergeCell ref="C9:J9"/>
    <mergeCell ref="K9:R9"/>
    <mergeCell ref="C23:D23"/>
    <mergeCell ref="C7:J7"/>
    <mergeCell ref="K7:R7"/>
    <mergeCell ref="G18:H18"/>
    <mergeCell ref="C21:D21"/>
  </mergeCells>
  <phoneticPr fontId="1"/>
  <pageMargins left="0.7" right="0.7" top="0.75" bottom="0.75" header="0.3" footer="0.3"/>
  <pageSetup paperSize="9" orientation="portrait" horizontalDpi="300" verticalDpi="300"/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5430-4457-46B6-83DE-3322CE57B303}">
  <dimension ref="B1:G25"/>
  <sheetViews>
    <sheetView workbookViewId="0">
      <selection activeCell="B1" sqref="B1"/>
    </sheetView>
  </sheetViews>
  <sheetFormatPr defaultRowHeight="13.5"/>
  <cols>
    <col min="1" max="1" width="1.375" customWidth="1"/>
    <col min="2" max="2" width="23.5" customWidth="1"/>
    <col min="3" max="3" width="13.25" customWidth="1"/>
    <col min="4" max="5" width="10.375" customWidth="1"/>
    <col min="6" max="6" width="11.125" customWidth="1"/>
    <col min="7" max="7" width="10.375" customWidth="1"/>
    <col min="8" max="8" width="9.125" customWidth="1"/>
  </cols>
  <sheetData>
    <row r="1" spans="2:7" ht="12.75" customHeight="1"/>
    <row r="2" spans="2:7" ht="21" customHeight="1" thickBot="1">
      <c r="B2" s="308" t="s">
        <v>548</v>
      </c>
    </row>
    <row r="3" spans="2:7" ht="26.25" customHeight="1">
      <c r="B3" s="617" t="s">
        <v>549</v>
      </c>
      <c r="C3" s="619" t="s">
        <v>550</v>
      </c>
      <c r="D3" s="620"/>
      <c r="E3" s="620"/>
      <c r="F3" s="620"/>
      <c r="G3" s="621"/>
    </row>
    <row r="4" spans="2:7" ht="25.5" customHeight="1" thickBot="1">
      <c r="B4" s="618"/>
      <c r="C4" s="309" t="s">
        <v>551</v>
      </c>
      <c r="D4" s="310" t="s">
        <v>552</v>
      </c>
      <c r="E4" s="310" t="s">
        <v>553</v>
      </c>
      <c r="F4" s="310" t="s">
        <v>554</v>
      </c>
      <c r="G4" s="311" t="s">
        <v>555</v>
      </c>
    </row>
    <row r="5" spans="2:7" ht="32.25" customHeight="1">
      <c r="B5" s="312" t="s">
        <v>556</v>
      </c>
      <c r="C5" s="313" t="s">
        <v>557</v>
      </c>
      <c r="D5" s="314"/>
      <c r="E5" s="314"/>
      <c r="F5" s="314"/>
      <c r="G5" s="315"/>
    </row>
    <row r="6" spans="2:7" ht="32.25" customHeight="1">
      <c r="B6" s="316" t="s">
        <v>558</v>
      </c>
      <c r="C6" s="317" t="s">
        <v>559</v>
      </c>
      <c r="D6" s="318" t="s">
        <v>560</v>
      </c>
      <c r="E6" s="318" t="s">
        <v>561</v>
      </c>
      <c r="F6" s="319"/>
      <c r="G6" s="320"/>
    </row>
    <row r="7" spans="2:7" ht="32.25" customHeight="1">
      <c r="B7" s="321" t="s">
        <v>562</v>
      </c>
      <c r="C7" s="322" t="s">
        <v>563</v>
      </c>
      <c r="D7" s="318" t="s">
        <v>564</v>
      </c>
      <c r="E7" s="318" t="s">
        <v>565</v>
      </c>
      <c r="F7" s="319"/>
      <c r="G7" s="320"/>
    </row>
    <row r="8" spans="2:7" ht="32.25" customHeight="1">
      <c r="B8" s="323" t="s">
        <v>566</v>
      </c>
      <c r="C8" s="322" t="s">
        <v>563</v>
      </c>
      <c r="D8" s="318" t="s">
        <v>564</v>
      </c>
      <c r="E8" s="324" t="s">
        <v>567</v>
      </c>
      <c r="F8" s="324" t="s">
        <v>568</v>
      </c>
      <c r="G8" s="325" t="s">
        <v>565</v>
      </c>
    </row>
    <row r="9" spans="2:7" ht="32.25" customHeight="1">
      <c r="B9" s="326" t="s">
        <v>569</v>
      </c>
      <c r="C9" s="317" t="s">
        <v>570</v>
      </c>
      <c r="D9" s="318" t="s">
        <v>571</v>
      </c>
      <c r="E9" s="318" t="s">
        <v>560</v>
      </c>
      <c r="F9" s="319"/>
      <c r="G9" s="320"/>
    </row>
    <row r="10" spans="2:7" ht="32.25" customHeight="1">
      <c r="B10" s="327" t="s">
        <v>572</v>
      </c>
      <c r="C10" s="322" t="s">
        <v>563</v>
      </c>
      <c r="D10" s="319"/>
      <c r="E10" s="319"/>
      <c r="F10" s="319"/>
      <c r="G10" s="320"/>
    </row>
    <row r="11" spans="2:7" ht="32.25" customHeight="1">
      <c r="B11" s="328" t="s">
        <v>573</v>
      </c>
      <c r="C11" s="322" t="s">
        <v>563</v>
      </c>
      <c r="D11" s="324" t="s">
        <v>557</v>
      </c>
      <c r="E11" s="324" t="s">
        <v>568</v>
      </c>
      <c r="F11" s="319"/>
      <c r="G11" s="320"/>
    </row>
    <row r="12" spans="2:7" ht="32.25" customHeight="1">
      <c r="B12" s="329" t="s">
        <v>574</v>
      </c>
      <c r="C12" s="322" t="s">
        <v>563</v>
      </c>
      <c r="D12" s="319"/>
      <c r="E12" s="319"/>
      <c r="F12" s="319"/>
      <c r="G12" s="320"/>
    </row>
    <row r="13" spans="2:7" ht="32.25" customHeight="1">
      <c r="B13" s="329" t="s">
        <v>575</v>
      </c>
      <c r="C13" s="322" t="s">
        <v>563</v>
      </c>
      <c r="D13" s="324" t="s">
        <v>557</v>
      </c>
      <c r="E13" s="324" t="s">
        <v>568</v>
      </c>
      <c r="F13" s="319"/>
      <c r="G13" s="320"/>
    </row>
    <row r="14" spans="2:7" ht="32.25" customHeight="1">
      <c r="B14" s="329" t="s">
        <v>576</v>
      </c>
      <c r="C14" s="322" t="s">
        <v>563</v>
      </c>
      <c r="D14" s="319"/>
      <c r="E14" s="319"/>
      <c r="F14" s="319"/>
      <c r="G14" s="320"/>
    </row>
    <row r="15" spans="2:7" ht="32.25" customHeight="1">
      <c r="B15" s="329" t="s">
        <v>577</v>
      </c>
      <c r="C15" s="322" t="s">
        <v>563</v>
      </c>
      <c r="D15" s="324" t="s">
        <v>557</v>
      </c>
      <c r="E15" s="324" t="s">
        <v>568</v>
      </c>
      <c r="F15" s="319"/>
      <c r="G15" s="320"/>
    </row>
    <row r="16" spans="2:7" ht="32.25" customHeight="1">
      <c r="B16" s="329" t="s">
        <v>578</v>
      </c>
      <c r="C16" s="322" t="s">
        <v>563</v>
      </c>
      <c r="D16" s="319"/>
      <c r="E16" s="319"/>
      <c r="F16" s="319"/>
      <c r="G16" s="320"/>
    </row>
    <row r="17" spans="2:7" ht="32.25" customHeight="1">
      <c r="B17" s="329" t="s">
        <v>579</v>
      </c>
      <c r="C17" s="322" t="s">
        <v>563</v>
      </c>
      <c r="D17" s="319"/>
      <c r="E17" s="319"/>
      <c r="F17" s="319"/>
      <c r="G17" s="320"/>
    </row>
    <row r="18" spans="2:7" ht="32.25" customHeight="1">
      <c r="B18" s="329" t="s">
        <v>580</v>
      </c>
      <c r="C18" s="322" t="s">
        <v>563</v>
      </c>
      <c r="D18" s="319"/>
      <c r="E18" s="319"/>
      <c r="F18" s="319"/>
      <c r="G18" s="320"/>
    </row>
    <row r="19" spans="2:7" ht="32.25" customHeight="1">
      <c r="B19" s="329" t="s">
        <v>581</v>
      </c>
      <c r="C19" s="322" t="s">
        <v>563</v>
      </c>
      <c r="D19" s="319"/>
      <c r="E19" s="319"/>
      <c r="F19" s="319"/>
      <c r="G19" s="320"/>
    </row>
    <row r="20" spans="2:7" ht="32.25" customHeight="1">
      <c r="B20" s="329" t="s">
        <v>582</v>
      </c>
      <c r="C20" s="330"/>
      <c r="D20" s="319"/>
      <c r="E20" s="319"/>
      <c r="F20" s="319"/>
      <c r="G20" s="320"/>
    </row>
    <row r="21" spans="2:7" ht="32.25" customHeight="1">
      <c r="B21" s="329" t="s">
        <v>583</v>
      </c>
      <c r="C21" s="330"/>
      <c r="D21" s="319"/>
      <c r="E21" s="319"/>
      <c r="F21" s="319"/>
      <c r="G21" s="320"/>
    </row>
    <row r="22" spans="2:7" ht="32.25" customHeight="1">
      <c r="B22" s="329" t="s">
        <v>584</v>
      </c>
      <c r="C22" s="322" t="s">
        <v>563</v>
      </c>
      <c r="D22" s="318" t="s">
        <v>565</v>
      </c>
      <c r="E22" s="319"/>
      <c r="F22" s="319"/>
      <c r="G22" s="320"/>
    </row>
    <row r="23" spans="2:7" ht="32.25" customHeight="1" thickBot="1">
      <c r="B23" s="331" t="s">
        <v>585</v>
      </c>
      <c r="C23" s="332" t="s">
        <v>563</v>
      </c>
      <c r="D23" s="333" t="s">
        <v>557</v>
      </c>
      <c r="E23" s="333" t="s">
        <v>568</v>
      </c>
      <c r="F23" s="334"/>
      <c r="G23" s="335"/>
    </row>
    <row r="24" spans="2:7">
      <c r="B24" s="616" t="s">
        <v>586</v>
      </c>
      <c r="C24" s="616"/>
      <c r="D24" s="616"/>
      <c r="E24" s="616"/>
      <c r="F24" s="616"/>
      <c r="G24" s="616"/>
    </row>
    <row r="25" spans="2:7" ht="21" customHeight="1">
      <c r="B25" s="616" t="s">
        <v>587</v>
      </c>
      <c r="C25" s="616"/>
      <c r="D25" s="616"/>
      <c r="E25" s="616"/>
      <c r="F25" s="616"/>
      <c r="G25" s="616"/>
    </row>
  </sheetData>
  <mergeCells count="4">
    <mergeCell ref="B24:G24"/>
    <mergeCell ref="B25:G25"/>
    <mergeCell ref="B3:B4"/>
    <mergeCell ref="C3:G3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24"/>
  <sheetViews>
    <sheetView workbookViewId="0">
      <selection activeCell="H3" sqref="H3:H9"/>
    </sheetView>
  </sheetViews>
  <sheetFormatPr defaultRowHeight="13.5"/>
  <cols>
    <col min="2" max="2" width="22.75" bestFit="1" customWidth="1"/>
    <col min="3" max="4" width="5.5" bestFit="1" customWidth="1"/>
    <col min="5" max="5" width="31.625" bestFit="1" customWidth="1"/>
  </cols>
  <sheetData>
    <row r="3" spans="2:8">
      <c r="G3" s="16"/>
      <c r="H3" s="16"/>
    </row>
    <row r="4" spans="2:8">
      <c r="B4" s="16" t="s">
        <v>258</v>
      </c>
      <c r="C4" s="16">
        <v>0.4</v>
      </c>
      <c r="D4" s="16">
        <v>0.9</v>
      </c>
      <c r="E4" s="16" t="s">
        <v>413</v>
      </c>
      <c r="G4" s="16" t="s">
        <v>305</v>
      </c>
      <c r="H4" s="16">
        <v>1</v>
      </c>
    </row>
    <row r="5" spans="2:8">
      <c r="B5" s="16" t="s">
        <v>410</v>
      </c>
      <c r="C5" s="16">
        <v>0.08</v>
      </c>
      <c r="D5" s="16">
        <v>0.19</v>
      </c>
      <c r="E5" s="16" t="s">
        <v>415</v>
      </c>
      <c r="G5" s="16" t="s">
        <v>261</v>
      </c>
      <c r="H5" s="16">
        <v>2</v>
      </c>
    </row>
    <row r="6" spans="2:8">
      <c r="B6" s="16" t="s">
        <v>469</v>
      </c>
      <c r="C6" s="16">
        <v>4.67</v>
      </c>
      <c r="D6" s="16">
        <v>4.67</v>
      </c>
      <c r="E6" s="16" t="s">
        <v>414</v>
      </c>
      <c r="G6" s="16"/>
      <c r="H6" s="16">
        <v>3</v>
      </c>
    </row>
    <row r="7" spans="2:8">
      <c r="B7" s="16" t="s">
        <v>411</v>
      </c>
      <c r="C7" s="16">
        <v>0.69</v>
      </c>
      <c r="D7" s="16">
        <v>1.28</v>
      </c>
      <c r="E7" s="16" t="s">
        <v>414</v>
      </c>
      <c r="G7" s="16"/>
      <c r="H7" s="16">
        <v>4</v>
      </c>
    </row>
    <row r="8" spans="2:8">
      <c r="B8" s="16" t="s">
        <v>470</v>
      </c>
      <c r="C8" s="16">
        <v>0.15</v>
      </c>
      <c r="D8" s="16">
        <v>0.47</v>
      </c>
      <c r="E8" s="16" t="s">
        <v>422</v>
      </c>
      <c r="G8" s="16"/>
      <c r="H8" s="16">
        <v>5</v>
      </c>
    </row>
    <row r="9" spans="2:8">
      <c r="B9" s="16" t="s">
        <v>471</v>
      </c>
      <c r="C9" s="16">
        <v>2.27</v>
      </c>
      <c r="D9" s="16">
        <v>5.08</v>
      </c>
      <c r="E9" s="16" t="s">
        <v>416</v>
      </c>
      <c r="G9" s="16"/>
      <c r="H9" s="16">
        <v>6</v>
      </c>
    </row>
    <row r="10" spans="2:8">
      <c r="B10" s="16" t="s">
        <v>472</v>
      </c>
      <c r="C10" s="16">
        <v>0.51</v>
      </c>
      <c r="D10" s="16">
        <v>1.54</v>
      </c>
      <c r="E10" s="16" t="s">
        <v>416</v>
      </c>
      <c r="G10" s="16"/>
      <c r="H10" s="16">
        <v>7</v>
      </c>
    </row>
    <row r="11" spans="2:8">
      <c r="B11" s="16" t="s">
        <v>473</v>
      </c>
      <c r="C11" s="16">
        <v>0.52</v>
      </c>
      <c r="D11" s="16">
        <v>1.3</v>
      </c>
      <c r="E11" s="16" t="s">
        <v>417</v>
      </c>
      <c r="G11" s="16"/>
      <c r="H11" s="16">
        <v>8</v>
      </c>
    </row>
    <row r="12" spans="2:8">
      <c r="B12" s="16" t="s">
        <v>474</v>
      </c>
      <c r="C12" s="16">
        <v>0.12</v>
      </c>
      <c r="D12" s="16">
        <v>0.39</v>
      </c>
      <c r="E12" s="16" t="s">
        <v>417</v>
      </c>
      <c r="G12" s="16"/>
      <c r="H12" s="16">
        <v>9</v>
      </c>
    </row>
    <row r="13" spans="2:8">
      <c r="B13" s="16" t="s">
        <v>475</v>
      </c>
      <c r="C13" s="16">
        <v>2.11</v>
      </c>
      <c r="D13" s="16">
        <v>7.7</v>
      </c>
      <c r="E13" s="16" t="s">
        <v>417</v>
      </c>
      <c r="G13" s="16"/>
      <c r="H13" s="16">
        <v>10</v>
      </c>
    </row>
    <row r="14" spans="2:8">
      <c r="B14" s="16" t="s">
        <v>476</v>
      </c>
      <c r="C14" s="16">
        <v>0.47</v>
      </c>
      <c r="D14" s="16">
        <v>2.2799999999999998</v>
      </c>
      <c r="E14" s="16" t="s">
        <v>417</v>
      </c>
      <c r="G14" s="16"/>
      <c r="H14" s="16">
        <v>11</v>
      </c>
    </row>
    <row r="15" spans="2:8">
      <c r="B15" s="16" t="s">
        <v>477</v>
      </c>
      <c r="C15" s="16">
        <v>1.95</v>
      </c>
      <c r="D15" s="16">
        <v>4.28</v>
      </c>
      <c r="E15" s="16" t="s">
        <v>418</v>
      </c>
      <c r="G15" s="16"/>
      <c r="H15" s="16">
        <v>12</v>
      </c>
    </row>
    <row r="16" spans="2:8">
      <c r="B16" s="16" t="s">
        <v>478</v>
      </c>
      <c r="C16" s="16">
        <v>0.85</v>
      </c>
      <c r="D16" s="16">
        <v>2.04</v>
      </c>
      <c r="E16" s="16" t="s">
        <v>419</v>
      </c>
      <c r="G16" s="16"/>
      <c r="H16" s="16">
        <v>13</v>
      </c>
    </row>
    <row r="17" spans="2:8">
      <c r="B17" s="16" t="s">
        <v>479</v>
      </c>
      <c r="C17" s="16">
        <v>0.95</v>
      </c>
      <c r="D17" s="16">
        <v>1.3</v>
      </c>
      <c r="E17" s="16" t="s">
        <v>418</v>
      </c>
      <c r="G17" s="39"/>
      <c r="H17" s="39">
        <v>14</v>
      </c>
    </row>
    <row r="18" spans="2:8">
      <c r="B18" s="16" t="s">
        <v>480</v>
      </c>
      <c r="C18" s="16">
        <v>0.43</v>
      </c>
      <c r="D18" s="16">
        <v>0.43</v>
      </c>
      <c r="E18" s="16" t="s">
        <v>419</v>
      </c>
      <c r="G18" s="13"/>
      <c r="H18" s="13">
        <v>15</v>
      </c>
    </row>
    <row r="19" spans="2:8">
      <c r="B19" s="16" t="s">
        <v>481</v>
      </c>
      <c r="C19" s="16">
        <v>0.84</v>
      </c>
      <c r="D19" s="16">
        <v>3.96</v>
      </c>
      <c r="E19" s="16" t="s">
        <v>421</v>
      </c>
      <c r="G19" s="39"/>
      <c r="H19" s="39">
        <v>16</v>
      </c>
    </row>
    <row r="20" spans="2:8">
      <c r="B20" s="16" t="s">
        <v>412</v>
      </c>
      <c r="C20" s="16">
        <v>1.48</v>
      </c>
      <c r="D20" s="16">
        <v>6.97</v>
      </c>
      <c r="E20" s="16" t="s">
        <v>420</v>
      </c>
      <c r="G20" s="39"/>
      <c r="H20" s="39">
        <v>17</v>
      </c>
    </row>
    <row r="21" spans="2:8">
      <c r="B21" s="16" t="s">
        <v>482</v>
      </c>
      <c r="C21" s="16">
        <v>0.89</v>
      </c>
      <c r="D21" s="16">
        <v>2.64</v>
      </c>
      <c r="E21" s="16" t="s">
        <v>483</v>
      </c>
      <c r="G21" s="16"/>
      <c r="H21" s="16">
        <v>18</v>
      </c>
    </row>
    <row r="22" spans="2:8">
      <c r="B22" s="16" t="s">
        <v>484</v>
      </c>
      <c r="C22" s="16">
        <v>0.26</v>
      </c>
      <c r="D22" s="16">
        <v>1.19</v>
      </c>
      <c r="E22" s="16" t="s">
        <v>418</v>
      </c>
      <c r="G22" s="16"/>
      <c r="H22" s="16">
        <v>19</v>
      </c>
    </row>
    <row r="23" spans="2:8">
      <c r="G23" s="16"/>
      <c r="H23" s="16">
        <v>20</v>
      </c>
    </row>
    <row r="24" spans="2:8">
      <c r="G24" s="16"/>
      <c r="H24" s="16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0DF4-8168-4D7C-9155-D02AE8030ED7}">
  <dimension ref="B2:C8"/>
  <sheetViews>
    <sheetView workbookViewId="0">
      <selection activeCell="B2" sqref="B2"/>
    </sheetView>
  </sheetViews>
  <sheetFormatPr defaultRowHeight="18" customHeight="1"/>
  <cols>
    <col min="2" max="2" width="3.25" customWidth="1"/>
    <col min="3" max="3" width="122.375" bestFit="1" customWidth="1"/>
  </cols>
  <sheetData>
    <row r="2" spans="2:3" ht="18" customHeight="1">
      <c r="B2" s="341" t="s">
        <v>627</v>
      </c>
    </row>
    <row r="4" spans="2:3" ht="18" customHeight="1">
      <c r="C4" t="s">
        <v>628</v>
      </c>
    </row>
    <row r="5" spans="2:3" ht="18" customHeight="1">
      <c r="C5" t="s">
        <v>629</v>
      </c>
    </row>
    <row r="6" spans="2:3" ht="18" customHeight="1">
      <c r="C6" t="s">
        <v>630</v>
      </c>
    </row>
    <row r="7" spans="2:3" ht="18" customHeight="1">
      <c r="C7" t="s">
        <v>631</v>
      </c>
    </row>
    <row r="8" spans="2:3" ht="18" customHeight="1">
      <c r="C8" t="s">
        <v>632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Q55"/>
  <sheetViews>
    <sheetView topLeftCell="A4" zoomScaleNormal="100" workbookViewId="0">
      <selection activeCell="A5" sqref="A5"/>
    </sheetView>
  </sheetViews>
  <sheetFormatPr defaultRowHeight="13.5"/>
  <cols>
    <col min="1" max="2" width="9.375" customWidth="1"/>
    <col min="3" max="3" width="13.625" customWidth="1"/>
    <col min="4" max="4" width="7.875" customWidth="1"/>
    <col min="5" max="7" width="9.875" customWidth="1"/>
    <col min="8" max="9" width="9.375" customWidth="1"/>
  </cols>
  <sheetData>
    <row r="11" spans="2:8">
      <c r="C11" s="343" t="s">
        <v>491</v>
      </c>
      <c r="D11" s="343"/>
      <c r="E11" s="343"/>
      <c r="F11" s="343"/>
      <c r="G11" s="343"/>
      <c r="H11" s="30"/>
    </row>
    <row r="12" spans="2:8">
      <c r="B12" s="30"/>
      <c r="C12" s="343"/>
      <c r="D12" s="343"/>
      <c r="E12" s="343"/>
      <c r="F12" s="343"/>
      <c r="G12" s="343"/>
      <c r="H12" s="30"/>
    </row>
    <row r="13" spans="2:8">
      <c r="C13" s="343"/>
      <c r="D13" s="343"/>
      <c r="E13" s="343"/>
      <c r="F13" s="343"/>
      <c r="G13" s="343"/>
    </row>
    <row r="17" spans="3:7">
      <c r="C17" s="344" t="s">
        <v>204</v>
      </c>
      <c r="D17" s="345"/>
      <c r="E17" s="345"/>
      <c r="F17" s="345"/>
      <c r="G17" s="345"/>
    </row>
    <row r="18" spans="3:7">
      <c r="C18" s="345"/>
      <c r="D18" s="345"/>
      <c r="E18" s="345"/>
      <c r="F18" s="345"/>
      <c r="G18" s="345"/>
    </row>
    <row r="24" spans="3:7">
      <c r="C24" s="346" t="s">
        <v>489</v>
      </c>
      <c r="D24" s="343"/>
      <c r="E24" s="343"/>
      <c r="F24" s="343"/>
      <c r="G24" s="343"/>
    </row>
    <row r="25" spans="3:7">
      <c r="C25" s="343"/>
      <c r="D25" s="343"/>
      <c r="E25" s="343"/>
      <c r="F25" s="343"/>
      <c r="G25" s="343"/>
    </row>
    <row r="46" spans="3:7">
      <c r="C46" s="16" t="s">
        <v>539</v>
      </c>
      <c r="D46" s="343" t="s">
        <v>232</v>
      </c>
      <c r="E46" s="343"/>
      <c r="F46" s="343"/>
      <c r="G46" s="343"/>
    </row>
    <row r="47" spans="3:7">
      <c r="C47" s="16"/>
    </row>
    <row r="48" spans="3:7">
      <c r="C48" s="16" t="s">
        <v>538</v>
      </c>
      <c r="D48" s="343" t="s">
        <v>540</v>
      </c>
      <c r="E48" s="343"/>
      <c r="F48" s="343"/>
      <c r="G48" s="343"/>
    </row>
    <row r="49" spans="3:17">
      <c r="C49" s="16"/>
    </row>
    <row r="50" spans="3:17"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3:17">
      <c r="C51" s="16" t="s">
        <v>115</v>
      </c>
      <c r="D51" s="343" t="s">
        <v>232</v>
      </c>
      <c r="E51" s="343"/>
      <c r="F51" s="343"/>
      <c r="G51" s="343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3:17">
      <c r="C52" s="16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3:17">
      <c r="C53" s="16"/>
      <c r="D53" s="343" t="s">
        <v>537</v>
      </c>
      <c r="E53" s="343"/>
      <c r="F53" s="343"/>
      <c r="G53" s="343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3:17">
      <c r="C54" s="16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3:17" ht="14.25">
      <c r="C55" s="19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</sheetData>
  <sheetProtection insertRows="0" selectLockedCells="1"/>
  <mergeCells count="7">
    <mergeCell ref="D51:G51"/>
    <mergeCell ref="D53:G53"/>
    <mergeCell ref="C11:G13"/>
    <mergeCell ref="C17:G18"/>
    <mergeCell ref="C24:G25"/>
    <mergeCell ref="D46:G46"/>
    <mergeCell ref="D48:G4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3"/>
  <sheetViews>
    <sheetView workbookViewId="0">
      <selection activeCell="B1" sqref="B1"/>
    </sheetView>
  </sheetViews>
  <sheetFormatPr defaultColWidth="9" defaultRowHeight="21.95" customHeight="1"/>
  <cols>
    <col min="1" max="1" width="4.25" style="16" customWidth="1"/>
    <col min="2" max="2" width="27.75" style="16" customWidth="1"/>
    <col min="3" max="3" width="5.375" style="11" customWidth="1"/>
    <col min="4" max="4" width="18.125" style="16" customWidth="1"/>
    <col min="5" max="5" width="17.125" style="16" customWidth="1"/>
    <col min="6" max="6" width="11.625" style="3" bestFit="1" customWidth="1"/>
    <col min="7" max="7" width="4.125" style="16" customWidth="1"/>
    <col min="8" max="16384" width="9" style="16"/>
  </cols>
  <sheetData>
    <row r="2" spans="2:6" ht="21.95" customHeight="1">
      <c r="B2" s="347" t="s">
        <v>66</v>
      </c>
      <c r="C2" s="347"/>
      <c r="D2" s="347"/>
      <c r="E2" s="347"/>
      <c r="F2" s="347"/>
    </row>
    <row r="3" spans="2:6" ht="21.95" customHeight="1">
      <c r="B3" s="347"/>
      <c r="C3" s="347"/>
      <c r="D3" s="347"/>
      <c r="E3" s="347"/>
      <c r="F3" s="347"/>
    </row>
    <row r="4" spans="2:6" ht="21.95" customHeight="1">
      <c r="B4" s="25"/>
      <c r="C4" s="24"/>
      <c r="D4" s="25"/>
      <c r="E4" s="25"/>
      <c r="F4" s="23"/>
    </row>
    <row r="5" spans="2:6" ht="21.95" customHeight="1">
      <c r="B5" s="16" t="s">
        <v>211</v>
      </c>
      <c r="C5" s="348"/>
      <c r="D5" s="348"/>
      <c r="E5" s="31"/>
      <c r="F5"/>
    </row>
    <row r="6" spans="2:6" ht="21.95" customHeight="1">
      <c r="C6" s="11">
        <v>1.1000000000000001</v>
      </c>
      <c r="D6" s="16" t="s">
        <v>101</v>
      </c>
      <c r="F6"/>
    </row>
    <row r="7" spans="2:6" ht="21.95" customHeight="1">
      <c r="C7" s="11">
        <v>1.2</v>
      </c>
      <c r="D7" s="16" t="s">
        <v>116</v>
      </c>
      <c r="F7"/>
    </row>
    <row r="8" spans="2:6" ht="21.95" customHeight="1">
      <c r="C8" s="11">
        <v>1.3</v>
      </c>
      <c r="D8" s="16" t="s">
        <v>233</v>
      </c>
      <c r="F8"/>
    </row>
    <row r="9" spans="2:6" ht="21.95" customHeight="1">
      <c r="B9" s="17"/>
      <c r="C9" s="11">
        <v>1.4</v>
      </c>
      <c r="D9" s="16" t="s">
        <v>37</v>
      </c>
      <c r="F9"/>
    </row>
    <row r="10" spans="2:6" ht="21.95" customHeight="1">
      <c r="B10" s="17"/>
      <c r="C10" s="11">
        <v>1.5</v>
      </c>
      <c r="D10" s="16" t="s">
        <v>268</v>
      </c>
      <c r="F10"/>
    </row>
    <row r="11" spans="2:6" ht="21.95" customHeight="1">
      <c r="C11" s="11">
        <v>1.6</v>
      </c>
      <c r="D11" s="16" t="s">
        <v>128</v>
      </c>
      <c r="F11"/>
    </row>
    <row r="12" spans="2:6" ht="21.95" customHeight="1">
      <c r="B12" s="17"/>
      <c r="C12" s="11" t="s">
        <v>212</v>
      </c>
      <c r="D12" s="16" t="s">
        <v>180</v>
      </c>
      <c r="F12"/>
    </row>
    <row r="13" spans="2:6" ht="21.95" customHeight="1">
      <c r="B13" s="17"/>
      <c r="C13" s="11" t="s">
        <v>213</v>
      </c>
      <c r="D13" s="16" t="s">
        <v>214</v>
      </c>
      <c r="F13"/>
    </row>
    <row r="14" spans="2:6" ht="21.95" customHeight="1">
      <c r="B14" s="17"/>
      <c r="F14"/>
    </row>
    <row r="15" spans="2:6" ht="21.95" customHeight="1">
      <c r="B15" s="16" t="s">
        <v>224</v>
      </c>
      <c r="F15"/>
    </row>
    <row r="16" spans="2:6" ht="21.95" customHeight="1">
      <c r="C16" s="11" t="s">
        <v>216</v>
      </c>
      <c r="D16" s="16" t="s">
        <v>269</v>
      </c>
      <c r="F16"/>
    </row>
    <row r="17" spans="2:6" ht="21.95" customHeight="1">
      <c r="C17" s="11" t="s">
        <v>217</v>
      </c>
      <c r="D17" s="16" t="s">
        <v>215</v>
      </c>
      <c r="F17"/>
    </row>
    <row r="18" spans="2:6" ht="21.95" customHeight="1">
      <c r="B18" s="17"/>
      <c r="C18" s="11" t="s">
        <v>218</v>
      </c>
      <c r="D18" s="16" t="s">
        <v>210</v>
      </c>
      <c r="F18"/>
    </row>
    <row r="19" spans="2:6" ht="21.95" customHeight="1">
      <c r="B19" s="17"/>
      <c r="C19" s="11" t="s">
        <v>439</v>
      </c>
      <c r="D19" s="16" t="s">
        <v>209</v>
      </c>
      <c r="F19"/>
    </row>
    <row r="20" spans="2:6" ht="21.95" customHeight="1">
      <c r="B20" s="17"/>
      <c r="C20" s="11" t="s">
        <v>440</v>
      </c>
      <c r="D20" s="16" t="s">
        <v>234</v>
      </c>
      <c r="F20"/>
    </row>
    <row r="21" spans="2:6" ht="21.95" customHeight="1">
      <c r="B21" s="17"/>
      <c r="F21"/>
    </row>
    <row r="22" spans="2:6" ht="21.95" customHeight="1">
      <c r="B22" s="16" t="s">
        <v>226</v>
      </c>
      <c r="F22"/>
    </row>
    <row r="23" spans="2:6" ht="21.95" customHeight="1">
      <c r="C23" s="11" t="s">
        <v>219</v>
      </c>
      <c r="D23" s="16" t="s">
        <v>231</v>
      </c>
      <c r="F23"/>
    </row>
    <row r="24" spans="2:6" ht="21.95" customHeight="1">
      <c r="B24" s="17"/>
      <c r="C24" s="11" t="s">
        <v>220</v>
      </c>
      <c r="D24" s="16" t="s">
        <v>183</v>
      </c>
      <c r="F24"/>
    </row>
    <row r="25" spans="2:6" ht="21.95" customHeight="1">
      <c r="B25" s="17"/>
      <c r="C25" s="11" t="s">
        <v>221</v>
      </c>
      <c r="D25" s="16" t="s">
        <v>230</v>
      </c>
      <c r="F25"/>
    </row>
    <row r="26" spans="2:6" ht="21.95" customHeight="1">
      <c r="B26" s="17"/>
      <c r="C26" s="11" t="s">
        <v>222</v>
      </c>
      <c r="D26" s="16" t="s">
        <v>229</v>
      </c>
      <c r="F26"/>
    </row>
    <row r="27" spans="2:6" ht="21.95" customHeight="1">
      <c r="B27" s="17"/>
      <c r="C27" s="11" t="s">
        <v>223</v>
      </c>
      <c r="D27" s="16" t="s">
        <v>228</v>
      </c>
      <c r="F27"/>
    </row>
    <row r="28" spans="2:6" ht="21.95" customHeight="1">
      <c r="F28"/>
    </row>
    <row r="29" spans="2:6" ht="21.95" customHeight="1">
      <c r="B29" s="16" t="s">
        <v>225</v>
      </c>
      <c r="F29"/>
    </row>
    <row r="30" spans="2:6" ht="21.95" customHeight="1">
      <c r="C30" s="11" t="s">
        <v>181</v>
      </c>
      <c r="D30" s="16" t="s">
        <v>520</v>
      </c>
      <c r="F30"/>
    </row>
    <row r="31" spans="2:6" ht="21.95" customHeight="1">
      <c r="B31" s="17"/>
      <c r="C31" s="11" t="s">
        <v>182</v>
      </c>
      <c r="D31" s="16" t="s">
        <v>67</v>
      </c>
      <c r="F31"/>
    </row>
    <row r="32" spans="2:6" ht="21.95" customHeight="1">
      <c r="C32" s="11" t="s">
        <v>238</v>
      </c>
      <c r="D32" s="16" t="s">
        <v>227</v>
      </c>
      <c r="F32"/>
    </row>
    <row r="33" spans="3:6" ht="21.95" customHeight="1">
      <c r="C33" s="11" t="s">
        <v>633</v>
      </c>
      <c r="D33" s="16" t="s">
        <v>634</v>
      </c>
      <c r="F33"/>
    </row>
  </sheetData>
  <sheetProtection selectLockedCells="1"/>
  <mergeCells count="2">
    <mergeCell ref="B2:F3"/>
    <mergeCell ref="C5:D5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140"/>
  <sheetViews>
    <sheetView zoomScale="98" zoomScaleNormal="98" workbookViewId="0">
      <selection activeCell="B1" sqref="B1"/>
    </sheetView>
  </sheetViews>
  <sheetFormatPr defaultColWidth="9" defaultRowHeight="20.100000000000001" customHeight="1"/>
  <cols>
    <col min="1" max="1" width="0.25" style="16" customWidth="1"/>
    <col min="2" max="2" width="2.75" style="16" customWidth="1"/>
    <col min="3" max="3" width="4.625" style="19" customWidth="1"/>
    <col min="4" max="4" width="5.125" style="19" customWidth="1"/>
    <col min="5" max="5" width="9.75" style="16" bestFit="1" customWidth="1"/>
    <col min="6" max="9" width="4.625" style="16" customWidth="1"/>
    <col min="10" max="10" width="8.625" style="16" customWidth="1"/>
    <col min="11" max="12" width="4.625" style="16" customWidth="1"/>
    <col min="13" max="13" width="8.625" style="16" customWidth="1"/>
    <col min="14" max="14" width="2.375" style="16" bestFit="1" customWidth="1"/>
    <col min="15" max="15" width="5.375" style="16" customWidth="1"/>
    <col min="16" max="16" width="2.375" style="16" bestFit="1" customWidth="1"/>
    <col min="17" max="17" width="6.25" style="16" customWidth="1"/>
    <col min="18" max="18" width="4" style="16" customWidth="1"/>
    <col min="19" max="19" width="0.375" style="16" customWidth="1"/>
    <col min="20" max="20" width="10.5" style="16" bestFit="1" customWidth="1"/>
    <col min="21" max="22" width="9" style="16"/>
    <col min="23" max="23" width="9" style="16" customWidth="1"/>
    <col min="24" max="24" width="13.75" style="16" customWidth="1"/>
    <col min="25" max="25" width="8.25" style="16" customWidth="1"/>
    <col min="26" max="26" width="5.5" style="16" customWidth="1"/>
    <col min="27" max="27" width="31.625" style="16" customWidth="1"/>
    <col min="28" max="28" width="9" style="16" customWidth="1"/>
    <col min="29" max="16384" width="9" style="16"/>
  </cols>
  <sheetData>
    <row r="2" spans="2:18" ht="20.100000000000001" customHeight="1">
      <c r="B2" s="43" t="s">
        <v>270</v>
      </c>
      <c r="C2" s="18"/>
      <c r="D2" s="18"/>
    </row>
    <row r="3" spans="2:18" ht="20.100000000000001" customHeight="1">
      <c r="B3" s="18"/>
    </row>
    <row r="4" spans="2:18" ht="20.100000000000001" customHeight="1">
      <c r="B4" s="19" t="s">
        <v>279</v>
      </c>
      <c r="E4" s="19"/>
    </row>
    <row r="6" spans="2:18" ht="20.100000000000001" customHeight="1">
      <c r="E6" s="16" t="s">
        <v>102</v>
      </c>
      <c r="G6" s="382" t="str">
        <f>'表 '!C11</f>
        <v>物件名</v>
      </c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</row>
    <row r="8" spans="2:18" ht="20.100000000000001" customHeight="1">
      <c r="E8" s="16" t="s">
        <v>103</v>
      </c>
      <c r="G8" s="382" t="s">
        <v>205</v>
      </c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</row>
    <row r="10" spans="2:18" ht="20.100000000000001" customHeight="1">
      <c r="E10" s="16" t="s">
        <v>104</v>
      </c>
      <c r="G10" s="382" t="s">
        <v>206</v>
      </c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</row>
    <row r="11" spans="2:18" ht="20.100000000000001" customHeight="1">
      <c r="L11" s="26"/>
      <c r="Q11" s="26"/>
    </row>
    <row r="12" spans="2:18" ht="20.100000000000001" customHeight="1">
      <c r="E12" s="16" t="s">
        <v>105</v>
      </c>
      <c r="G12" s="348" t="s">
        <v>106</v>
      </c>
      <c r="H12" s="348"/>
      <c r="I12" s="383">
        <v>0</v>
      </c>
      <c r="J12" s="383"/>
      <c r="K12" s="383"/>
      <c r="L12" s="26" t="s">
        <v>107</v>
      </c>
    </row>
    <row r="13" spans="2:18" ht="20.100000000000001" customHeight="1">
      <c r="G13" s="348" t="s">
        <v>108</v>
      </c>
      <c r="H13" s="348"/>
      <c r="I13" s="383">
        <v>0</v>
      </c>
      <c r="J13" s="383"/>
      <c r="K13" s="383"/>
      <c r="L13" s="26" t="s">
        <v>107</v>
      </c>
    </row>
    <row r="14" spans="2:18" ht="20.100000000000001" customHeight="1">
      <c r="F14" s="348" t="s">
        <v>111</v>
      </c>
      <c r="G14" s="348"/>
      <c r="H14" s="348"/>
      <c r="I14" s="384">
        <v>0</v>
      </c>
      <c r="J14" s="384"/>
      <c r="K14" s="384"/>
      <c r="L14" s="26" t="s">
        <v>110</v>
      </c>
    </row>
    <row r="15" spans="2:18" ht="20.100000000000001" customHeight="1">
      <c r="G15" s="348" t="s">
        <v>109</v>
      </c>
      <c r="H15" s="348"/>
      <c r="I15" s="384">
        <v>0</v>
      </c>
      <c r="J15" s="384"/>
      <c r="K15" s="384"/>
      <c r="L15" s="26" t="s">
        <v>110</v>
      </c>
    </row>
    <row r="16" spans="2:18" ht="20.100000000000001" customHeight="1">
      <c r="E16" s="348" t="s">
        <v>349</v>
      </c>
      <c r="F16" s="348"/>
      <c r="G16" s="348"/>
      <c r="H16" s="348"/>
      <c r="I16" s="385">
        <v>0</v>
      </c>
      <c r="J16" s="385"/>
      <c r="K16" s="385"/>
      <c r="L16" s="26" t="s">
        <v>110</v>
      </c>
      <c r="Q16" s="26"/>
    </row>
    <row r="17" spans="1:20" ht="20.100000000000001" customHeight="1">
      <c r="E17" s="348" t="s">
        <v>348</v>
      </c>
      <c r="F17" s="348"/>
      <c r="G17" s="348"/>
      <c r="H17" s="348"/>
      <c r="I17" s="385">
        <v>0</v>
      </c>
      <c r="J17" s="385"/>
      <c r="K17" s="385"/>
      <c r="L17" s="114" t="s">
        <v>110</v>
      </c>
    </row>
    <row r="18" spans="1:20" ht="20.100000000000001" customHeight="1">
      <c r="B18" s="19"/>
      <c r="E18" s="19"/>
      <c r="F18" s="348" t="s">
        <v>112</v>
      </c>
      <c r="G18" s="348"/>
      <c r="H18" s="348"/>
      <c r="I18" s="384">
        <v>0</v>
      </c>
      <c r="J18" s="384"/>
      <c r="K18" s="384"/>
      <c r="L18" s="26" t="s">
        <v>113</v>
      </c>
      <c r="N18" s="348"/>
      <c r="O18" s="348"/>
      <c r="P18" s="348"/>
      <c r="Q18" s="26"/>
    </row>
    <row r="19" spans="1:20" ht="20.100000000000001" customHeight="1">
      <c r="F19" s="348" t="s">
        <v>114</v>
      </c>
      <c r="G19" s="348"/>
      <c r="H19" s="348"/>
      <c r="I19" s="385">
        <v>0</v>
      </c>
      <c r="J19" s="385"/>
      <c r="K19" s="385"/>
      <c r="L19" s="26" t="s">
        <v>113</v>
      </c>
    </row>
    <row r="20" spans="1:20" ht="20.100000000000001" customHeight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2" spans="1:20" ht="20.100000000000001" customHeight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20.100000000000001" customHeight="1"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20" ht="20.100000000000001" customHeight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0" ht="20.100000000000001" customHeight="1"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0" ht="20.100000000000001" customHeight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0" ht="20.100000000000001" customHeight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9" spans="1:20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20.100000000000001" customHeight="1">
      <c r="B40" s="92" t="s">
        <v>280</v>
      </c>
    </row>
    <row r="41" spans="1:20" ht="6.75" customHeight="1">
      <c r="C41" s="170"/>
      <c r="D41" s="170"/>
      <c r="E41" s="39"/>
      <c r="F41" s="39"/>
      <c r="G41" s="39"/>
      <c r="H41" s="39"/>
      <c r="I41" s="39"/>
      <c r="J41" s="39"/>
      <c r="K41" s="39"/>
      <c r="L41" s="39"/>
      <c r="M41" s="39"/>
    </row>
    <row r="42" spans="1:20" ht="19.5" customHeight="1">
      <c r="C42" s="110" t="s">
        <v>41</v>
      </c>
      <c r="D42" s="349" t="s">
        <v>202</v>
      </c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</row>
    <row r="43" spans="1:20" ht="10.5" customHeight="1">
      <c r="C43" s="110" t="s">
        <v>42</v>
      </c>
      <c r="D43" s="350" t="s">
        <v>547</v>
      </c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</row>
    <row r="44" spans="1:20" ht="20.100000000000001" customHeight="1">
      <c r="C44" s="98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</row>
    <row r="45" spans="1:20" ht="12" customHeight="1">
      <c r="C45" s="110" t="s">
        <v>40</v>
      </c>
      <c r="D45" s="350" t="s">
        <v>546</v>
      </c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</row>
    <row r="46" spans="1:20" ht="20.100000000000001" customHeight="1">
      <c r="C46" s="11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</row>
    <row r="47" spans="1:20" ht="20.100000000000001" customHeight="1">
      <c r="C47" s="110" t="s">
        <v>38</v>
      </c>
      <c r="D47" s="349" t="s">
        <v>523</v>
      </c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0" ht="26.25" customHeight="1">
      <c r="C48" s="110" t="s">
        <v>39</v>
      </c>
      <c r="D48" s="350" t="s">
        <v>543</v>
      </c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</row>
    <row r="49" spans="1:19" ht="19.5" customHeight="1">
      <c r="C49" s="110" t="s">
        <v>117</v>
      </c>
      <c r="D49" s="350" t="s">
        <v>544</v>
      </c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</row>
    <row r="50" spans="1:19" ht="20.100000000000001" customHeight="1">
      <c r="C50" s="110" t="s">
        <v>118</v>
      </c>
      <c r="D50" s="349" t="s">
        <v>545</v>
      </c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9" ht="20.100000000000001" customHeight="1">
      <c r="C51" s="110" t="s">
        <v>119</v>
      </c>
      <c r="D51" s="349" t="s">
        <v>524</v>
      </c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</row>
    <row r="52" spans="1:19" ht="12" customHeight="1">
      <c r="C52" s="110" t="s">
        <v>120</v>
      </c>
      <c r="D52" s="349" t="s">
        <v>207</v>
      </c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</row>
    <row r="53" spans="1:19" ht="20.100000000000001" customHeight="1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9" ht="20.100000000000001" customHeight="1">
      <c r="B54" s="92" t="s">
        <v>281</v>
      </c>
    </row>
    <row r="55" spans="1:19" ht="7.5" customHeight="1">
      <c r="C55" s="21"/>
      <c r="D55" s="21"/>
    </row>
    <row r="56" spans="1:19" ht="20.100000000000001" customHeight="1">
      <c r="A56" s="20"/>
      <c r="C56" s="110" t="s">
        <v>525</v>
      </c>
      <c r="D56" s="350" t="s">
        <v>541</v>
      </c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20"/>
    </row>
    <row r="57" spans="1:19" ht="20.100000000000001" customHeight="1">
      <c r="A57" s="20"/>
      <c r="C57" s="11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20"/>
    </row>
    <row r="58" spans="1:19" ht="11.25" customHeight="1">
      <c r="A58" s="20"/>
      <c r="C58" s="11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20"/>
    </row>
    <row r="59" spans="1:19" ht="19.5" customHeight="1">
      <c r="A59" s="20"/>
      <c r="C59" s="110"/>
      <c r="D59" s="303" t="s">
        <v>526</v>
      </c>
      <c r="E59" s="350" t="s">
        <v>527</v>
      </c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20"/>
    </row>
    <row r="60" spans="1:19" ht="11.25" customHeight="1">
      <c r="A60" s="20"/>
      <c r="C60" s="110"/>
      <c r="D60" s="303" t="s">
        <v>526</v>
      </c>
      <c r="E60" s="350" t="s">
        <v>528</v>
      </c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20"/>
    </row>
    <row r="61" spans="1:19" ht="20.100000000000001" customHeight="1">
      <c r="A61" s="20"/>
      <c r="C61" s="110"/>
      <c r="D61" s="303" t="s">
        <v>526</v>
      </c>
      <c r="E61" s="350" t="s">
        <v>529</v>
      </c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20"/>
    </row>
    <row r="62" spans="1:19" ht="10.5" customHeight="1">
      <c r="A62" s="20"/>
      <c r="C62" s="110"/>
      <c r="D62" s="303" t="s">
        <v>526</v>
      </c>
      <c r="E62" s="350" t="s">
        <v>530</v>
      </c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</row>
    <row r="63" spans="1:19" ht="20.100000000000001" customHeight="1">
      <c r="A63" s="20"/>
      <c r="C63" s="110"/>
      <c r="D63" s="303" t="s">
        <v>526</v>
      </c>
      <c r="E63" s="350" t="s">
        <v>531</v>
      </c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</row>
    <row r="64" spans="1:19" ht="20.100000000000001" customHeight="1">
      <c r="A64" s="20"/>
      <c r="C64" s="110"/>
      <c r="D64" s="303" t="s">
        <v>526</v>
      </c>
      <c r="E64" s="349" t="s">
        <v>532</v>
      </c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</row>
    <row r="65" spans="1:19" ht="10.5" customHeight="1">
      <c r="A65" s="20"/>
      <c r="C65" s="110"/>
      <c r="D65" s="303" t="s">
        <v>526</v>
      </c>
      <c r="E65" s="349" t="s">
        <v>533</v>
      </c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</row>
    <row r="66" spans="1:19" ht="13.5" customHeight="1">
      <c r="A66" s="20"/>
      <c r="C66" s="110"/>
      <c r="D66" s="303" t="s">
        <v>526</v>
      </c>
      <c r="E66" s="349" t="s">
        <v>33</v>
      </c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</row>
    <row r="67" spans="1:19" ht="20.100000000000001" customHeight="1">
      <c r="A67" s="20"/>
      <c r="C67" s="110"/>
      <c r="D67" s="303"/>
      <c r="E67" s="304" t="s">
        <v>91</v>
      </c>
      <c r="F67" s="305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</row>
    <row r="68" spans="1:19" ht="20.100000000000001" customHeight="1">
      <c r="A68" s="20"/>
      <c r="C68" s="110"/>
      <c r="D68" s="303"/>
      <c r="E68" s="304" t="s">
        <v>92</v>
      </c>
      <c r="F68" s="305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</row>
    <row r="69" spans="1:19" ht="10.5" customHeight="1">
      <c r="A69" s="20"/>
      <c r="C69" s="110"/>
      <c r="D69" s="303" t="s">
        <v>526</v>
      </c>
      <c r="E69" s="350" t="s">
        <v>534</v>
      </c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  <c r="Q69" s="350"/>
      <c r="R69" s="350"/>
      <c r="S69" s="20"/>
    </row>
    <row r="70" spans="1:19" ht="20.100000000000001" customHeight="1">
      <c r="A70" s="20"/>
      <c r="C70" s="110"/>
      <c r="D70" s="303" t="s">
        <v>526</v>
      </c>
      <c r="E70" s="349" t="s">
        <v>409</v>
      </c>
      <c r="F70" s="349"/>
      <c r="G70" s="349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</row>
    <row r="71" spans="1:19" ht="20.100000000000001" customHeight="1">
      <c r="A71" s="20"/>
      <c r="C71" s="110" t="s">
        <v>42</v>
      </c>
      <c r="D71" s="349" t="s">
        <v>121</v>
      </c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06"/>
    </row>
    <row r="72" spans="1:19" ht="20.100000000000001" customHeight="1">
      <c r="A72" s="20"/>
      <c r="C72" s="110" t="s">
        <v>40</v>
      </c>
      <c r="D72" s="349" t="s">
        <v>255</v>
      </c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20"/>
    </row>
    <row r="73" spans="1:19" ht="20.100000000000001" customHeight="1">
      <c r="A73" s="20"/>
      <c r="C73" s="110" t="s">
        <v>38</v>
      </c>
      <c r="D73" s="349" t="s">
        <v>535</v>
      </c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20"/>
    </row>
    <row r="74" spans="1:19" ht="20.100000000000001" customHeight="1">
      <c r="A74" s="20"/>
      <c r="C74" s="110" t="s">
        <v>39</v>
      </c>
      <c r="D74" s="350" t="s">
        <v>542</v>
      </c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20"/>
    </row>
    <row r="75" spans="1:19" ht="12.75" customHeight="1">
      <c r="A75" s="20"/>
      <c r="C75" s="110" t="s">
        <v>536</v>
      </c>
      <c r="D75" s="350" t="s">
        <v>235</v>
      </c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20"/>
    </row>
    <row r="76" spans="1:19" ht="11.25" customHeight="1">
      <c r="C76" s="11"/>
      <c r="D76" s="11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9" ht="20.100000000000001" customHeight="1">
      <c r="B77" s="19" t="s">
        <v>282</v>
      </c>
    </row>
    <row r="79" spans="1:19" ht="20.100000000000001" customHeight="1">
      <c r="C79" s="363" t="s">
        <v>2</v>
      </c>
      <c r="D79" s="363"/>
      <c r="E79" s="363"/>
      <c r="F79" s="363"/>
      <c r="G79" s="367" t="s">
        <v>4</v>
      </c>
      <c r="H79" s="368"/>
      <c r="I79" s="368"/>
      <c r="J79" s="369"/>
      <c r="K79" s="363" t="s">
        <v>3</v>
      </c>
      <c r="L79" s="363"/>
      <c r="M79" s="363"/>
      <c r="N79" s="363"/>
      <c r="O79" s="363"/>
    </row>
    <row r="80" spans="1:19" ht="20.100000000000001" customHeight="1">
      <c r="C80" s="360" t="s">
        <v>5</v>
      </c>
      <c r="D80" s="360"/>
      <c r="E80" s="360"/>
      <c r="F80" s="360"/>
      <c r="G80" s="356" t="s">
        <v>127</v>
      </c>
      <c r="H80" s="361"/>
      <c r="I80" s="361"/>
      <c r="J80" s="357"/>
      <c r="K80" s="360" t="s">
        <v>34</v>
      </c>
      <c r="L80" s="360"/>
      <c r="M80" s="360"/>
      <c r="N80" s="360"/>
      <c r="O80" s="360"/>
    </row>
    <row r="81" spans="3:16" ht="20.100000000000001" customHeight="1">
      <c r="C81" s="360" t="s">
        <v>140</v>
      </c>
      <c r="D81" s="360"/>
      <c r="E81" s="360"/>
      <c r="F81" s="360"/>
      <c r="G81" s="356" t="s">
        <v>35</v>
      </c>
      <c r="H81" s="361"/>
      <c r="I81" s="361"/>
      <c r="J81" s="357"/>
      <c r="K81" s="360" t="s">
        <v>6</v>
      </c>
      <c r="L81" s="360"/>
      <c r="M81" s="360"/>
      <c r="N81" s="360"/>
      <c r="O81" s="360"/>
    </row>
    <row r="82" spans="3:16" ht="20.100000000000001" customHeight="1">
      <c r="C82" s="360" t="s">
        <v>7</v>
      </c>
      <c r="D82" s="360"/>
      <c r="E82" s="360"/>
      <c r="F82" s="360"/>
      <c r="G82" s="356" t="s">
        <v>208</v>
      </c>
      <c r="H82" s="361"/>
      <c r="I82" s="361"/>
      <c r="J82" s="357"/>
      <c r="K82" s="360" t="s">
        <v>8</v>
      </c>
      <c r="L82" s="360"/>
      <c r="M82" s="360"/>
      <c r="N82" s="360"/>
      <c r="O82" s="360"/>
    </row>
    <row r="83" spans="3:16" ht="20.100000000000001" customHeight="1">
      <c r="C83" s="360"/>
      <c r="D83" s="360"/>
      <c r="E83" s="360"/>
      <c r="F83" s="360"/>
      <c r="G83" s="356" t="s">
        <v>10</v>
      </c>
      <c r="H83" s="361"/>
      <c r="I83" s="361"/>
      <c r="J83" s="357"/>
      <c r="K83" s="360" t="s">
        <v>9</v>
      </c>
      <c r="L83" s="360"/>
      <c r="M83" s="360"/>
      <c r="N83" s="360"/>
      <c r="O83" s="360"/>
    </row>
    <row r="84" spans="3:16" ht="20.100000000000001" customHeight="1">
      <c r="C84" s="10"/>
      <c r="D84" s="10"/>
      <c r="E84" s="1"/>
      <c r="F84" s="1"/>
      <c r="G84" s="1"/>
      <c r="H84" s="1"/>
      <c r="I84" s="1"/>
      <c r="J84" s="1"/>
      <c r="K84" s="1"/>
      <c r="L84" s="1"/>
      <c r="M84" s="1"/>
    </row>
    <row r="85" spans="3:16" ht="20.100000000000001" customHeight="1">
      <c r="C85" s="10"/>
      <c r="D85" s="10"/>
      <c r="E85" s="112"/>
      <c r="F85" s="112"/>
      <c r="G85" s="112"/>
      <c r="H85" s="112"/>
      <c r="I85" s="112"/>
      <c r="J85" s="112"/>
      <c r="K85" s="112"/>
      <c r="L85" s="112"/>
      <c r="M85" s="112"/>
    </row>
    <row r="86" spans="3:16" ht="20.100000000000001" customHeight="1">
      <c r="C86" s="362" t="s">
        <v>124</v>
      </c>
      <c r="D86" s="362"/>
      <c r="E86" s="362"/>
      <c r="F86" s="374"/>
      <c r="G86" s="1"/>
      <c r="H86" s="1"/>
      <c r="I86" s="1"/>
      <c r="J86" s="1"/>
      <c r="K86" s="1"/>
      <c r="L86" s="1"/>
      <c r="M86" s="1"/>
    </row>
    <row r="87" spans="3:16" ht="20.100000000000001" customHeight="1">
      <c r="C87" s="367" t="s">
        <v>2</v>
      </c>
      <c r="D87" s="368"/>
      <c r="E87" s="369"/>
      <c r="F87" s="363" t="s">
        <v>11</v>
      </c>
      <c r="G87" s="363"/>
      <c r="H87" s="363"/>
      <c r="I87" s="363"/>
      <c r="J87" s="363"/>
      <c r="K87" s="363"/>
      <c r="L87" s="363"/>
      <c r="M87" s="363"/>
      <c r="N87" s="363"/>
      <c r="O87" s="1"/>
      <c r="P87" s="1"/>
    </row>
    <row r="88" spans="3:16" ht="20.100000000000001" customHeight="1">
      <c r="C88" s="378" t="s">
        <v>8</v>
      </c>
      <c r="D88" s="379"/>
      <c r="E88" s="380"/>
      <c r="F88" s="363" t="s">
        <v>13</v>
      </c>
      <c r="G88" s="363"/>
      <c r="H88" s="363" t="s">
        <v>14</v>
      </c>
      <c r="I88" s="363"/>
      <c r="J88" s="40" t="s">
        <v>15</v>
      </c>
      <c r="K88" s="363" t="s">
        <v>16</v>
      </c>
      <c r="L88" s="363"/>
      <c r="M88" s="363" t="s">
        <v>17</v>
      </c>
      <c r="N88" s="363"/>
    </row>
    <row r="89" spans="3:16" ht="20.100000000000001" customHeight="1">
      <c r="C89" s="378" t="s">
        <v>12</v>
      </c>
      <c r="D89" s="379"/>
      <c r="E89" s="380"/>
      <c r="F89" s="363" t="s">
        <v>302</v>
      </c>
      <c r="G89" s="363"/>
      <c r="H89" s="363" t="s">
        <v>302</v>
      </c>
      <c r="I89" s="363"/>
      <c r="J89" s="40" t="s">
        <v>36</v>
      </c>
      <c r="K89" s="363" t="s">
        <v>302</v>
      </c>
      <c r="L89" s="363"/>
      <c r="M89" s="363" t="s">
        <v>36</v>
      </c>
      <c r="N89" s="363"/>
    </row>
    <row r="90" spans="3:16" ht="20.100000000000001" customHeight="1">
      <c r="C90" s="6"/>
      <c r="D90" s="2"/>
      <c r="E90" s="5"/>
      <c r="F90" s="360">
        <v>20.7</v>
      </c>
      <c r="G90" s="360"/>
      <c r="H90" s="360">
        <v>16.2</v>
      </c>
      <c r="I90" s="360"/>
      <c r="J90" s="93">
        <v>26.7</v>
      </c>
      <c r="K90" s="360">
        <v>2.1</v>
      </c>
      <c r="L90" s="360"/>
      <c r="M90" s="360">
        <v>7.35</v>
      </c>
      <c r="N90" s="360"/>
    </row>
    <row r="91" spans="3:16" ht="20.100000000000001" customHeight="1">
      <c r="C91" s="375" t="s">
        <v>125</v>
      </c>
      <c r="D91" s="377"/>
      <c r="E91" s="376"/>
      <c r="F91" s="363" t="s">
        <v>18</v>
      </c>
      <c r="G91" s="363"/>
      <c r="H91" s="363"/>
      <c r="I91" s="363"/>
      <c r="J91" s="363"/>
      <c r="K91" s="363"/>
      <c r="L91" s="363"/>
      <c r="M91" s="363"/>
      <c r="N91" s="363"/>
    </row>
    <row r="92" spans="3:16" ht="20.100000000000001" customHeight="1">
      <c r="C92" s="378" t="s">
        <v>301</v>
      </c>
      <c r="D92" s="379"/>
      <c r="E92" s="380"/>
      <c r="F92" s="363" t="s">
        <v>13</v>
      </c>
      <c r="G92" s="363"/>
      <c r="H92" s="363" t="s">
        <v>14</v>
      </c>
      <c r="I92" s="363"/>
      <c r="J92" s="40" t="s">
        <v>15</v>
      </c>
      <c r="K92" s="363" t="s">
        <v>16</v>
      </c>
      <c r="L92" s="363"/>
      <c r="M92" s="363" t="s">
        <v>17</v>
      </c>
      <c r="N92" s="363"/>
    </row>
    <row r="93" spans="3:16" ht="20.100000000000001" customHeight="1">
      <c r="C93" s="6"/>
      <c r="D93" s="2"/>
      <c r="E93" s="5"/>
      <c r="F93" s="363" t="s">
        <v>36</v>
      </c>
      <c r="G93" s="363"/>
      <c r="H93" s="363" t="s">
        <v>36</v>
      </c>
      <c r="I93" s="363"/>
      <c r="J93" s="40" t="s">
        <v>36</v>
      </c>
      <c r="K93" s="363" t="s">
        <v>36</v>
      </c>
      <c r="L93" s="363"/>
      <c r="M93" s="363" t="s">
        <v>36</v>
      </c>
      <c r="N93" s="363"/>
    </row>
    <row r="94" spans="3:16" ht="20.100000000000001" customHeight="1">
      <c r="C94" s="6"/>
      <c r="D94" s="2"/>
      <c r="E94" s="5"/>
      <c r="F94" s="360">
        <v>7.59</v>
      </c>
      <c r="G94" s="360"/>
      <c r="H94" s="360">
        <v>5.94</v>
      </c>
      <c r="I94" s="360"/>
      <c r="J94" s="93">
        <v>9.7899999999999991</v>
      </c>
      <c r="K94" s="360">
        <v>0.77</v>
      </c>
      <c r="L94" s="360"/>
      <c r="M94" s="360">
        <v>2.7</v>
      </c>
      <c r="N94" s="360"/>
    </row>
    <row r="95" spans="3:16" ht="20.100000000000001" customHeight="1">
      <c r="C95" s="6"/>
      <c r="D95" s="2"/>
      <c r="E95" s="5"/>
      <c r="F95" s="363" t="s">
        <v>19</v>
      </c>
      <c r="G95" s="363"/>
      <c r="H95" s="363"/>
      <c r="I95" s="363"/>
      <c r="J95" s="363"/>
      <c r="K95" s="363"/>
      <c r="L95" s="363"/>
      <c r="M95" s="363"/>
      <c r="N95" s="363"/>
    </row>
    <row r="96" spans="3:16" ht="20.100000000000001" customHeight="1">
      <c r="C96" s="6"/>
      <c r="D96" s="2"/>
      <c r="E96" s="5"/>
      <c r="F96" s="363" t="s">
        <v>13</v>
      </c>
      <c r="G96" s="363"/>
      <c r="H96" s="363" t="s">
        <v>14</v>
      </c>
      <c r="I96" s="363"/>
      <c r="J96" s="40" t="s">
        <v>15</v>
      </c>
      <c r="K96" s="363" t="s">
        <v>16</v>
      </c>
      <c r="L96" s="363"/>
      <c r="M96" s="363" t="s">
        <v>17</v>
      </c>
      <c r="N96" s="363"/>
    </row>
    <row r="97" spans="3:14" ht="20.100000000000001" customHeight="1">
      <c r="C97" s="6"/>
      <c r="D97" s="2"/>
      <c r="E97" s="5"/>
      <c r="F97" s="363" t="s">
        <v>36</v>
      </c>
      <c r="G97" s="363"/>
      <c r="H97" s="363" t="s">
        <v>36</v>
      </c>
      <c r="I97" s="363"/>
      <c r="J97" s="40" t="s">
        <v>36</v>
      </c>
      <c r="K97" s="363" t="s">
        <v>36</v>
      </c>
      <c r="L97" s="363"/>
      <c r="M97" s="363" t="s">
        <v>36</v>
      </c>
      <c r="N97" s="363"/>
    </row>
    <row r="98" spans="3:14" ht="20.100000000000001" customHeight="1">
      <c r="C98" s="7"/>
      <c r="D98" s="91"/>
      <c r="E98" s="4"/>
      <c r="F98" s="360">
        <v>13.8</v>
      </c>
      <c r="G98" s="360"/>
      <c r="H98" s="360">
        <v>10.8</v>
      </c>
      <c r="I98" s="360"/>
      <c r="J98" s="93">
        <v>17.8</v>
      </c>
      <c r="K98" s="360">
        <v>1.4</v>
      </c>
      <c r="L98" s="360"/>
      <c r="M98" s="360">
        <v>4.9000000000000004</v>
      </c>
      <c r="N98" s="360"/>
    </row>
    <row r="99" spans="3:14" ht="20.100000000000001" customHeight="1">
      <c r="C99" s="10"/>
      <c r="D99" s="10"/>
      <c r="E99" s="1"/>
      <c r="F99" s="1"/>
      <c r="G99" s="1"/>
      <c r="H99" s="1"/>
      <c r="I99" s="1"/>
      <c r="J99" s="1"/>
      <c r="K99" s="1"/>
      <c r="L99" s="1"/>
      <c r="M99" s="1"/>
    </row>
    <row r="100" spans="3:14" ht="20.100000000000001" customHeight="1">
      <c r="C100" s="10"/>
      <c r="D100" s="10"/>
      <c r="E100" s="112"/>
      <c r="F100" s="112"/>
      <c r="G100" s="112"/>
      <c r="H100" s="112"/>
      <c r="I100" s="112"/>
      <c r="J100" s="112"/>
      <c r="K100" s="112"/>
      <c r="L100" s="112"/>
      <c r="M100" s="112"/>
    </row>
    <row r="101" spans="3:14" ht="20.100000000000001" customHeight="1">
      <c r="C101" s="367" t="s">
        <v>2</v>
      </c>
      <c r="D101" s="368"/>
      <c r="E101" s="369"/>
      <c r="F101" s="363" t="s">
        <v>11</v>
      </c>
      <c r="G101" s="363"/>
      <c r="H101" s="363"/>
      <c r="I101" s="363"/>
      <c r="J101" s="363"/>
      <c r="K101" s="363"/>
      <c r="L101" s="363"/>
      <c r="M101" s="363"/>
      <c r="N101" s="363"/>
    </row>
    <row r="102" spans="3:14" ht="20.100000000000001" customHeight="1">
      <c r="C102" s="378" t="s">
        <v>9</v>
      </c>
      <c r="D102" s="379"/>
      <c r="E102" s="380"/>
      <c r="F102" s="363" t="s">
        <v>13</v>
      </c>
      <c r="G102" s="363"/>
      <c r="H102" s="363" t="s">
        <v>14</v>
      </c>
      <c r="I102" s="363"/>
      <c r="J102" s="40" t="s">
        <v>15</v>
      </c>
      <c r="K102" s="363" t="s">
        <v>16</v>
      </c>
      <c r="L102" s="363"/>
      <c r="M102" s="363" t="s">
        <v>17</v>
      </c>
      <c r="N102" s="363"/>
    </row>
    <row r="103" spans="3:14" ht="20.100000000000001" customHeight="1">
      <c r="C103" s="378" t="s">
        <v>12</v>
      </c>
      <c r="D103" s="379"/>
      <c r="E103" s="380"/>
      <c r="F103" s="386" t="s">
        <v>36</v>
      </c>
      <c r="G103" s="386"/>
      <c r="H103" s="363" t="s">
        <v>36</v>
      </c>
      <c r="I103" s="363"/>
      <c r="J103" s="40" t="s">
        <v>36</v>
      </c>
      <c r="K103" s="363" t="s">
        <v>36</v>
      </c>
      <c r="L103" s="363"/>
      <c r="M103" s="363" t="s">
        <v>36</v>
      </c>
      <c r="N103" s="363"/>
    </row>
    <row r="104" spans="3:14" ht="20.100000000000001" customHeight="1">
      <c r="C104" s="6"/>
      <c r="D104" s="2"/>
      <c r="E104" s="5"/>
      <c r="F104" s="360">
        <v>17.7</v>
      </c>
      <c r="G104" s="360"/>
      <c r="H104" s="360">
        <v>13.5</v>
      </c>
      <c r="I104" s="360"/>
      <c r="J104" s="93">
        <v>22.2</v>
      </c>
      <c r="K104" s="360">
        <v>1.8</v>
      </c>
      <c r="L104" s="360"/>
      <c r="M104" s="360">
        <v>5.88</v>
      </c>
      <c r="N104" s="360"/>
    </row>
    <row r="105" spans="3:14" ht="20.100000000000001" customHeight="1">
      <c r="C105" s="375" t="s">
        <v>125</v>
      </c>
      <c r="D105" s="377"/>
      <c r="E105" s="376"/>
      <c r="F105" s="363" t="s">
        <v>18</v>
      </c>
      <c r="G105" s="363"/>
      <c r="H105" s="363"/>
      <c r="I105" s="363"/>
      <c r="J105" s="363"/>
      <c r="K105" s="363"/>
      <c r="L105" s="363"/>
      <c r="M105" s="363"/>
      <c r="N105" s="363"/>
    </row>
    <row r="106" spans="3:14" ht="20.100000000000001" customHeight="1">
      <c r="C106" s="378" t="s">
        <v>300</v>
      </c>
      <c r="D106" s="379"/>
      <c r="E106" s="380"/>
      <c r="F106" s="363" t="s">
        <v>13</v>
      </c>
      <c r="G106" s="363"/>
      <c r="H106" s="363" t="s">
        <v>14</v>
      </c>
      <c r="I106" s="363"/>
      <c r="J106" s="40" t="s">
        <v>15</v>
      </c>
      <c r="K106" s="363" t="s">
        <v>16</v>
      </c>
      <c r="L106" s="363"/>
      <c r="M106" s="363" t="s">
        <v>17</v>
      </c>
      <c r="N106" s="363"/>
    </row>
    <row r="107" spans="3:14" ht="20.100000000000001" customHeight="1">
      <c r="C107" s="6"/>
      <c r="D107" s="2"/>
      <c r="E107" s="5"/>
      <c r="F107" s="363" t="s">
        <v>36</v>
      </c>
      <c r="G107" s="363"/>
      <c r="H107" s="363" t="s">
        <v>36</v>
      </c>
      <c r="I107" s="363"/>
      <c r="J107" s="40" t="s">
        <v>36</v>
      </c>
      <c r="K107" s="363" t="s">
        <v>36</v>
      </c>
      <c r="L107" s="363"/>
      <c r="M107" s="363" t="s">
        <v>36</v>
      </c>
      <c r="N107" s="363"/>
    </row>
    <row r="108" spans="3:14" ht="20.100000000000001" customHeight="1">
      <c r="C108" s="6"/>
      <c r="D108" s="2"/>
      <c r="E108" s="5"/>
      <c r="F108" s="360">
        <v>6.49</v>
      </c>
      <c r="G108" s="360"/>
      <c r="H108" s="360">
        <v>4.95</v>
      </c>
      <c r="I108" s="360"/>
      <c r="J108" s="93">
        <v>8.14</v>
      </c>
      <c r="K108" s="360">
        <v>0.66</v>
      </c>
      <c r="L108" s="360"/>
      <c r="M108" s="360">
        <v>2.16</v>
      </c>
      <c r="N108" s="360"/>
    </row>
    <row r="109" spans="3:14" ht="20.100000000000001" customHeight="1">
      <c r="C109" s="6"/>
      <c r="D109" s="2"/>
      <c r="E109" s="5"/>
      <c r="F109" s="363" t="s">
        <v>19</v>
      </c>
      <c r="G109" s="363"/>
      <c r="H109" s="363"/>
      <c r="I109" s="363"/>
      <c r="J109" s="363"/>
      <c r="K109" s="363"/>
      <c r="L109" s="363"/>
      <c r="M109" s="363"/>
      <c r="N109" s="363"/>
    </row>
    <row r="110" spans="3:14" ht="20.100000000000001" customHeight="1">
      <c r="C110" s="6"/>
      <c r="D110" s="2"/>
      <c r="E110" s="5"/>
      <c r="F110" s="363" t="s">
        <v>13</v>
      </c>
      <c r="G110" s="363"/>
      <c r="H110" s="363" t="s">
        <v>14</v>
      </c>
      <c r="I110" s="363"/>
      <c r="J110" s="40" t="s">
        <v>15</v>
      </c>
      <c r="K110" s="363" t="s">
        <v>16</v>
      </c>
      <c r="L110" s="363"/>
      <c r="M110" s="363" t="s">
        <v>17</v>
      </c>
      <c r="N110" s="363"/>
    </row>
    <row r="111" spans="3:14" ht="20.100000000000001" customHeight="1">
      <c r="C111" s="6"/>
      <c r="D111" s="2"/>
      <c r="E111" s="5"/>
      <c r="F111" s="363" t="s">
        <v>36</v>
      </c>
      <c r="G111" s="363"/>
      <c r="H111" s="363" t="s">
        <v>36</v>
      </c>
      <c r="I111" s="363"/>
      <c r="J111" s="40" t="s">
        <v>36</v>
      </c>
      <c r="K111" s="363" t="s">
        <v>36</v>
      </c>
      <c r="L111" s="363"/>
      <c r="M111" s="363" t="s">
        <v>36</v>
      </c>
      <c r="N111" s="363"/>
    </row>
    <row r="112" spans="3:14" ht="20.100000000000001" customHeight="1">
      <c r="C112" s="7"/>
      <c r="D112" s="91"/>
      <c r="E112" s="4"/>
      <c r="F112" s="360">
        <v>11.8</v>
      </c>
      <c r="G112" s="360"/>
      <c r="H112" s="360">
        <v>9</v>
      </c>
      <c r="I112" s="360"/>
      <c r="J112" s="93">
        <v>14.8</v>
      </c>
      <c r="K112" s="360">
        <v>1.2</v>
      </c>
      <c r="L112" s="360"/>
      <c r="M112" s="360">
        <v>3.92</v>
      </c>
      <c r="N112" s="360"/>
    </row>
    <row r="113" spans="3:27" ht="20.100000000000001" customHeight="1">
      <c r="C113" s="2"/>
      <c r="D113" s="2"/>
      <c r="E113" s="1"/>
      <c r="F113" s="27"/>
      <c r="G113" s="27"/>
      <c r="H113" s="27"/>
      <c r="I113" s="27"/>
      <c r="J113" s="27"/>
      <c r="K113" s="1"/>
      <c r="L113" s="1"/>
      <c r="M113" s="1"/>
    </row>
    <row r="114" spans="3:27" ht="20.100000000000001" customHeight="1">
      <c r="C114" s="2"/>
      <c r="D114" s="2"/>
      <c r="E114" s="112"/>
      <c r="F114" s="111"/>
      <c r="G114" s="111"/>
      <c r="H114" s="111"/>
      <c r="I114" s="111"/>
      <c r="J114" s="111"/>
      <c r="K114" s="112"/>
      <c r="L114" s="112"/>
      <c r="M114" s="112"/>
    </row>
    <row r="115" spans="3:27" ht="20.100000000000001" customHeight="1">
      <c r="C115" s="362" t="s">
        <v>298</v>
      </c>
      <c r="D115" s="362"/>
      <c r="E115" s="362"/>
      <c r="F115" s="362"/>
      <c r="G115" s="362"/>
      <c r="H115" s="362"/>
      <c r="I115" s="362"/>
      <c r="J115" s="362"/>
      <c r="K115" s="1"/>
      <c r="L115" s="1"/>
      <c r="M115" s="1"/>
    </row>
    <row r="116" spans="3:27" ht="20.100000000000001" customHeight="1">
      <c r="C116" s="370" t="s">
        <v>20</v>
      </c>
      <c r="D116" s="371"/>
      <c r="E116" s="363" t="s">
        <v>18</v>
      </c>
      <c r="F116" s="363"/>
      <c r="G116" s="363"/>
      <c r="H116" s="363"/>
      <c r="I116" s="363"/>
      <c r="J116" s="363"/>
      <c r="K116" s="363" t="s">
        <v>19</v>
      </c>
      <c r="L116" s="363"/>
      <c r="M116" s="363"/>
      <c r="N116" s="363"/>
      <c r="O116" s="363"/>
      <c r="P116" s="363"/>
      <c r="Q116" s="363"/>
      <c r="R116" s="363"/>
    </row>
    <row r="117" spans="3:27" ht="20.100000000000001" customHeight="1">
      <c r="C117" s="375"/>
      <c r="D117" s="376"/>
      <c r="E117" s="363" t="s">
        <v>21</v>
      </c>
      <c r="F117" s="363" t="s">
        <v>22</v>
      </c>
      <c r="G117" s="363"/>
      <c r="H117" s="363" t="s">
        <v>23</v>
      </c>
      <c r="I117" s="363"/>
      <c r="J117" s="363"/>
      <c r="K117" s="363" t="s">
        <v>21</v>
      </c>
      <c r="L117" s="363"/>
      <c r="M117" s="363" t="s">
        <v>22</v>
      </c>
      <c r="N117" s="363" t="s">
        <v>23</v>
      </c>
      <c r="O117" s="363"/>
      <c r="P117" s="363"/>
      <c r="Q117" s="363"/>
      <c r="R117" s="363"/>
    </row>
    <row r="118" spans="3:27" ht="20.100000000000001" customHeight="1">
      <c r="C118" s="372"/>
      <c r="D118" s="373"/>
      <c r="E118" s="363"/>
      <c r="F118" s="363"/>
      <c r="G118" s="363"/>
      <c r="H118" s="363" t="s">
        <v>122</v>
      </c>
      <c r="I118" s="363"/>
      <c r="J118" s="28" t="s">
        <v>123</v>
      </c>
      <c r="K118" s="363"/>
      <c r="L118" s="363"/>
      <c r="M118" s="363"/>
      <c r="N118" s="363" t="s">
        <v>122</v>
      </c>
      <c r="O118" s="363"/>
      <c r="P118" s="363" t="s">
        <v>123</v>
      </c>
      <c r="Q118" s="363"/>
      <c r="R118" s="363"/>
    </row>
    <row r="119" spans="3:27" ht="20.100000000000001" customHeight="1">
      <c r="C119" s="356"/>
      <c r="D119" s="357"/>
      <c r="E119" s="94"/>
      <c r="F119" s="351"/>
      <c r="G119" s="351"/>
      <c r="H119" s="351"/>
      <c r="I119" s="351"/>
      <c r="J119" s="95"/>
      <c r="K119" s="358"/>
      <c r="L119" s="358"/>
      <c r="M119" s="96"/>
      <c r="N119" s="359"/>
      <c r="O119" s="359"/>
      <c r="P119" s="351"/>
      <c r="Q119" s="351"/>
      <c r="R119" s="351"/>
    </row>
    <row r="120" spans="3:27" ht="20.100000000000001" customHeight="1">
      <c r="C120" s="356"/>
      <c r="D120" s="357"/>
      <c r="E120" s="94"/>
      <c r="F120" s="351"/>
      <c r="G120" s="351"/>
      <c r="H120" s="351"/>
      <c r="I120" s="351"/>
      <c r="J120" s="174"/>
      <c r="K120" s="358"/>
      <c r="L120" s="358"/>
      <c r="M120" s="175"/>
      <c r="N120" s="359"/>
      <c r="O120" s="359"/>
      <c r="P120" s="351"/>
      <c r="Q120" s="351"/>
      <c r="R120" s="351"/>
    </row>
    <row r="121" spans="3:27" ht="20.100000000000001" customHeight="1">
      <c r="C121" s="10"/>
      <c r="D121" s="10"/>
      <c r="E121" s="112"/>
      <c r="F121" s="112"/>
      <c r="G121" s="112"/>
      <c r="H121" s="112"/>
      <c r="I121" s="112"/>
      <c r="J121" s="112"/>
      <c r="K121" s="112"/>
      <c r="L121" s="112"/>
    </row>
    <row r="122" spans="3:27" ht="20.100000000000001" customHeight="1">
      <c r="C122" s="362" t="s">
        <v>299</v>
      </c>
      <c r="D122" s="362"/>
      <c r="E122" s="362"/>
      <c r="F122" s="362"/>
      <c r="G122" s="362"/>
      <c r="H122" s="362"/>
      <c r="I122" s="362"/>
      <c r="J122" s="362"/>
      <c r="K122" s="1"/>
      <c r="L122" s="1"/>
    </row>
    <row r="123" spans="3:27" ht="20.100000000000001" customHeight="1">
      <c r="C123" s="370" t="s">
        <v>20</v>
      </c>
      <c r="D123" s="371"/>
      <c r="E123" s="363" t="s">
        <v>18</v>
      </c>
      <c r="F123" s="363"/>
      <c r="G123" s="363"/>
      <c r="H123" s="363"/>
      <c r="I123" s="363"/>
      <c r="J123" s="363" t="s">
        <v>24</v>
      </c>
      <c r="K123" s="363"/>
      <c r="L123" s="363"/>
      <c r="M123" s="363"/>
      <c r="N123" s="367" t="s">
        <v>25</v>
      </c>
      <c r="O123" s="368"/>
      <c r="P123" s="369"/>
    </row>
    <row r="124" spans="3:27" ht="20.100000000000001" customHeight="1">
      <c r="C124" s="372"/>
      <c r="D124" s="373"/>
      <c r="E124" s="28" t="s">
        <v>21</v>
      </c>
      <c r="F124" s="363" t="s">
        <v>26</v>
      </c>
      <c r="G124" s="363"/>
      <c r="H124" s="363" t="s">
        <v>22</v>
      </c>
      <c r="I124" s="363"/>
      <c r="J124" s="28" t="s">
        <v>21</v>
      </c>
      <c r="K124" s="363" t="s">
        <v>26</v>
      </c>
      <c r="L124" s="363"/>
      <c r="M124" s="28" t="s">
        <v>22</v>
      </c>
      <c r="N124" s="367"/>
      <c r="O124" s="368"/>
      <c r="P124" s="369"/>
    </row>
    <row r="125" spans="3:27" ht="20.100000000000001" customHeight="1">
      <c r="C125" s="356"/>
      <c r="D125" s="357"/>
      <c r="E125" s="93"/>
      <c r="F125" s="360"/>
      <c r="G125" s="360"/>
      <c r="H125" s="360"/>
      <c r="I125" s="360"/>
      <c r="J125" s="93"/>
      <c r="K125" s="360"/>
      <c r="L125" s="360"/>
      <c r="M125" s="93"/>
      <c r="N125" s="356"/>
      <c r="O125" s="361"/>
      <c r="P125" s="357"/>
    </row>
    <row r="126" spans="3:27" ht="20.100000000000001" customHeight="1">
      <c r="C126" s="356"/>
      <c r="D126" s="357"/>
      <c r="E126" s="173"/>
      <c r="F126" s="360"/>
      <c r="G126" s="360"/>
      <c r="H126" s="360"/>
      <c r="I126" s="360"/>
      <c r="J126" s="173"/>
      <c r="K126" s="360"/>
      <c r="L126" s="360"/>
      <c r="M126" s="173"/>
      <c r="N126" s="356"/>
      <c r="O126" s="361"/>
      <c r="P126" s="357"/>
      <c r="W126"/>
      <c r="X126"/>
      <c r="Y126"/>
      <c r="Z126"/>
      <c r="AA126"/>
    </row>
    <row r="127" spans="3:27" ht="20.100000000000001" customHeight="1"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W127"/>
      <c r="X127"/>
      <c r="Y127"/>
      <c r="Z127"/>
      <c r="AA127"/>
    </row>
    <row r="128" spans="3:27" ht="20.100000000000001" customHeight="1">
      <c r="C128" s="374" t="s">
        <v>256</v>
      </c>
      <c r="D128" s="374"/>
      <c r="E128" s="374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W128"/>
      <c r="X128"/>
      <c r="Y128"/>
      <c r="Z128"/>
      <c r="AA128"/>
    </row>
    <row r="129" spans="2:27" ht="20.100000000000001" customHeight="1">
      <c r="C129" s="363" t="s">
        <v>257</v>
      </c>
      <c r="D129" s="363"/>
      <c r="E129" s="363"/>
      <c r="F129" s="363" t="s">
        <v>259</v>
      </c>
      <c r="G129" s="363"/>
      <c r="H129" s="363"/>
      <c r="I129" s="363"/>
      <c r="J129" s="363"/>
      <c r="K129" s="363"/>
      <c r="L129" s="363"/>
      <c r="M129" s="364" t="s">
        <v>262</v>
      </c>
      <c r="N129" s="365"/>
      <c r="O129" s="365"/>
      <c r="P129" s="365"/>
      <c r="Q129" s="365"/>
      <c r="R129" s="366"/>
      <c r="W129"/>
      <c r="X129"/>
      <c r="Y129"/>
      <c r="Z129"/>
      <c r="AA129"/>
    </row>
    <row r="130" spans="2:27" ht="20.100000000000001" customHeight="1">
      <c r="C130" s="363"/>
      <c r="D130" s="363"/>
      <c r="E130" s="363"/>
      <c r="F130" s="363" t="s">
        <v>263</v>
      </c>
      <c r="G130" s="363"/>
      <c r="H130" s="363"/>
      <c r="I130" s="363"/>
      <c r="J130" s="381" t="s">
        <v>264</v>
      </c>
      <c r="K130" s="381"/>
      <c r="L130" s="381"/>
      <c r="M130" s="364"/>
      <c r="N130" s="365"/>
      <c r="O130" s="365"/>
      <c r="P130" s="365"/>
      <c r="Q130" s="365"/>
      <c r="R130" s="366"/>
      <c r="W130"/>
      <c r="X130"/>
      <c r="Y130"/>
      <c r="Z130"/>
      <c r="AA130"/>
    </row>
    <row r="131" spans="2:27" ht="20.100000000000001" customHeight="1">
      <c r="C131" s="355"/>
      <c r="D131" s="355"/>
      <c r="E131" s="355"/>
      <c r="F131" s="351" t="str">
        <f>IF(C131="","",VLOOKUP(C131,データ!$B$3:$C$25,2,0))</f>
        <v/>
      </c>
      <c r="G131" s="351"/>
      <c r="H131" s="351"/>
      <c r="I131" s="351"/>
      <c r="J131" s="351" t="str">
        <f>IF(C131="","",VLOOKUP(C131,データ!$B$3:$D$26,3,0))</f>
        <v/>
      </c>
      <c r="K131" s="351"/>
      <c r="L131" s="351"/>
      <c r="M131" s="352" t="str">
        <f>IF(C131="","",VLOOKUP(C131,データ!$B$3:$E$27,4,0))</f>
        <v/>
      </c>
      <c r="N131" s="353"/>
      <c r="O131" s="353"/>
      <c r="P131" s="353"/>
      <c r="Q131" s="353"/>
      <c r="R131" s="354"/>
      <c r="W131"/>
      <c r="X131"/>
      <c r="Y131"/>
      <c r="Z131"/>
      <c r="AA131"/>
    </row>
    <row r="132" spans="2:27" ht="20.100000000000001" customHeight="1">
      <c r="C132" s="355"/>
      <c r="D132" s="355"/>
      <c r="E132" s="355"/>
      <c r="F132" s="351" t="str">
        <f>IF(C132="","",VLOOKUP(C132,データ!$B$3:$C$25,2,0))</f>
        <v/>
      </c>
      <c r="G132" s="351"/>
      <c r="H132" s="351"/>
      <c r="I132" s="351"/>
      <c r="J132" s="351" t="str">
        <f>IF(C132="","",VLOOKUP(C132,データ!$B$3:$D$26,3,0))</f>
        <v/>
      </c>
      <c r="K132" s="351"/>
      <c r="L132" s="351"/>
      <c r="M132" s="352" t="str">
        <f>IF(C132="","",VLOOKUP(C132,データ!$B$3:$E$27,4,0))</f>
        <v/>
      </c>
      <c r="N132" s="353"/>
      <c r="O132" s="353"/>
      <c r="P132" s="353"/>
      <c r="Q132" s="353"/>
      <c r="R132" s="354"/>
      <c r="W132"/>
      <c r="X132"/>
      <c r="Y132"/>
      <c r="Z132"/>
      <c r="AA132"/>
    </row>
    <row r="133" spans="2:27" ht="20.100000000000001" customHeight="1">
      <c r="C133" s="355"/>
      <c r="D133" s="355"/>
      <c r="E133" s="355"/>
      <c r="F133" s="351" t="str">
        <f>IF(C133="","",VLOOKUP(C133,データ!$B$3:$C$25,2,0))</f>
        <v/>
      </c>
      <c r="G133" s="351"/>
      <c r="H133" s="351"/>
      <c r="I133" s="351"/>
      <c r="J133" s="351" t="str">
        <f>IF(C133="","",VLOOKUP(C133,データ!$B$3:$D$26,3,0))</f>
        <v/>
      </c>
      <c r="K133" s="351"/>
      <c r="L133" s="351"/>
      <c r="M133" s="352" t="str">
        <f>IF(C133="","",VLOOKUP(C133,データ!$B$3:$E$27,4,0))</f>
        <v/>
      </c>
      <c r="N133" s="353"/>
      <c r="O133" s="353"/>
      <c r="P133" s="353"/>
      <c r="Q133" s="353"/>
      <c r="R133" s="354"/>
      <c r="W133"/>
      <c r="X133"/>
      <c r="Y133"/>
      <c r="Z133"/>
      <c r="AA133"/>
    </row>
    <row r="134" spans="2:27" ht="20.100000000000001" customHeight="1">
      <c r="C134" s="355"/>
      <c r="D134" s="355"/>
      <c r="E134" s="355"/>
      <c r="F134" s="351" t="str">
        <f>IF(C134="","",VLOOKUP(C134,データ!$B$3:$C$25,2,0))</f>
        <v/>
      </c>
      <c r="G134" s="351"/>
      <c r="H134" s="351"/>
      <c r="I134" s="351"/>
      <c r="J134" s="351" t="str">
        <f>IF(C134="","",VLOOKUP(C134,データ!$B$3:$D$26,3,0))</f>
        <v/>
      </c>
      <c r="K134" s="351"/>
      <c r="L134" s="351"/>
      <c r="M134" s="352" t="str">
        <f>IF(C134="","",VLOOKUP(C134,データ!$B$3:$E$27,4,0))</f>
        <v/>
      </c>
      <c r="N134" s="353"/>
      <c r="O134" s="353"/>
      <c r="P134" s="353"/>
      <c r="Q134" s="353"/>
      <c r="R134" s="354"/>
      <c r="W134"/>
      <c r="X134"/>
      <c r="Y134"/>
      <c r="Z134"/>
      <c r="AA134"/>
    </row>
    <row r="135" spans="2:27" ht="20.100000000000001" customHeight="1">
      <c r="C135" s="355"/>
      <c r="D135" s="355"/>
      <c r="E135" s="355"/>
      <c r="F135" s="351" t="str">
        <f>IF(C135="","",VLOOKUP(C135,データ!$B$3:$C$25,2,0))</f>
        <v/>
      </c>
      <c r="G135" s="351"/>
      <c r="H135" s="351"/>
      <c r="I135" s="351"/>
      <c r="J135" s="351" t="str">
        <f>IF(C135="","",VLOOKUP(C135,データ!$B$3:$D$26,3,0))</f>
        <v/>
      </c>
      <c r="K135" s="351"/>
      <c r="L135" s="351"/>
      <c r="M135" s="352" t="str">
        <f>IF(C135="","",VLOOKUP(C135,データ!$B$3:$E$27,4,0))</f>
        <v/>
      </c>
      <c r="N135" s="353"/>
      <c r="O135" s="353"/>
      <c r="P135" s="353"/>
      <c r="Q135" s="353"/>
      <c r="R135" s="354"/>
      <c r="W135"/>
      <c r="X135"/>
      <c r="Y135"/>
      <c r="Z135"/>
      <c r="AA135"/>
    </row>
    <row r="136" spans="2:27" ht="20.100000000000001" customHeight="1">
      <c r="C136" s="355"/>
      <c r="D136" s="355"/>
      <c r="E136" s="355"/>
      <c r="F136" s="351" t="str">
        <f>IF(C136="","",VLOOKUP(C136,データ!$B$3:$C$25,2,0))</f>
        <v/>
      </c>
      <c r="G136" s="351"/>
      <c r="H136" s="351"/>
      <c r="I136" s="351"/>
      <c r="J136" s="351" t="str">
        <f>IF(C136="","",VLOOKUP(C136,データ!$B$3:$D$26,3,0))</f>
        <v/>
      </c>
      <c r="K136" s="351"/>
      <c r="L136" s="351"/>
      <c r="M136" s="352" t="str">
        <f>IF(C136="","",VLOOKUP(C136,データ!$B$3:$E$27,4,0))</f>
        <v/>
      </c>
      <c r="N136" s="353"/>
      <c r="O136" s="353"/>
      <c r="P136" s="353"/>
      <c r="Q136" s="353"/>
      <c r="R136" s="354"/>
      <c r="W136"/>
      <c r="X136"/>
      <c r="Y136"/>
      <c r="Z136"/>
      <c r="AA136"/>
    </row>
    <row r="137" spans="2:27" ht="20.100000000000001" customHeight="1">
      <c r="C137" s="355"/>
      <c r="D137" s="355"/>
      <c r="E137" s="355"/>
      <c r="F137" s="351" t="str">
        <f>IF(C137="","",VLOOKUP(C137,データ!$B$3:$C$25,2,0))</f>
        <v/>
      </c>
      <c r="G137" s="351"/>
      <c r="H137" s="351"/>
      <c r="I137" s="351"/>
      <c r="J137" s="351" t="str">
        <f>IF(C137="","",VLOOKUP(C137,データ!$B$3:$D$26,3,0))</f>
        <v/>
      </c>
      <c r="K137" s="351"/>
      <c r="L137" s="351"/>
      <c r="M137" s="352" t="str">
        <f>IF(C137="","",VLOOKUP(C137,データ!$B$3:$E$27,4,0))</f>
        <v/>
      </c>
      <c r="N137" s="353"/>
      <c r="O137" s="353"/>
      <c r="P137" s="353"/>
      <c r="Q137" s="353"/>
      <c r="R137" s="354"/>
      <c r="W137"/>
      <c r="X137"/>
      <c r="Y137"/>
      <c r="Z137"/>
      <c r="AA137"/>
    </row>
    <row r="138" spans="2:27" ht="20.100000000000001" customHeight="1">
      <c r="C138" s="355"/>
      <c r="D138" s="355"/>
      <c r="E138" s="355"/>
      <c r="F138" s="351" t="str">
        <f>IF(C138="","",VLOOKUP(C138,データ!$B$3:$C$25,2,0))</f>
        <v/>
      </c>
      <c r="G138" s="351"/>
      <c r="H138" s="351"/>
      <c r="I138" s="351"/>
      <c r="J138" s="351" t="str">
        <f>IF(C138="","",VLOOKUP(C138,データ!$B$3:$D$26,3,0))</f>
        <v/>
      </c>
      <c r="K138" s="351"/>
      <c r="L138" s="351"/>
      <c r="M138" s="352" t="str">
        <f>IF(C138="","",VLOOKUP(C138,データ!$B$3:$E$27,4,0))</f>
        <v/>
      </c>
      <c r="N138" s="353"/>
      <c r="O138" s="353"/>
      <c r="P138" s="353"/>
      <c r="Q138" s="353"/>
      <c r="R138" s="354"/>
      <c r="W138"/>
      <c r="X138"/>
      <c r="Y138"/>
      <c r="Z138"/>
      <c r="AA138"/>
    </row>
    <row r="139" spans="2:27" ht="20.100000000000001" customHeight="1">
      <c r="C139" s="355"/>
      <c r="D139" s="355"/>
      <c r="E139" s="355"/>
      <c r="F139" s="351" t="str">
        <f>IF(C139="","",VLOOKUP(C139,データ!$B$3:$C$25,2,0))</f>
        <v/>
      </c>
      <c r="G139" s="351"/>
      <c r="H139" s="351"/>
      <c r="I139" s="351"/>
      <c r="J139" s="351" t="str">
        <f>IF(C139="","",VLOOKUP(C139,データ!$B$3:$D$26,3,0))</f>
        <v/>
      </c>
      <c r="K139" s="351"/>
      <c r="L139" s="351"/>
      <c r="M139" s="352" t="str">
        <f>IF(C139="","",VLOOKUP(C139,データ!$B$3:$E$27,4,0))</f>
        <v/>
      </c>
      <c r="N139" s="353"/>
      <c r="O139" s="353"/>
      <c r="P139" s="353"/>
      <c r="Q139" s="353"/>
      <c r="R139" s="354"/>
      <c r="W139"/>
      <c r="X139"/>
      <c r="Y139"/>
      <c r="Z139"/>
      <c r="AA139"/>
    </row>
    <row r="140" spans="2:27" ht="20.100000000000001" customHeight="1">
      <c r="B140" s="115"/>
      <c r="C140" s="115"/>
      <c r="D140" s="115"/>
      <c r="E140" s="115"/>
      <c r="F140" s="115"/>
      <c r="G140" s="115"/>
      <c r="H140" s="115"/>
      <c r="I140" s="115"/>
      <c r="J140" s="115"/>
      <c r="K140" s="14"/>
      <c r="L140" s="15"/>
      <c r="M140" s="115"/>
      <c r="N140" s="115"/>
      <c r="O140" s="115"/>
      <c r="P140" s="115"/>
      <c r="W140"/>
      <c r="X140"/>
      <c r="Y140"/>
      <c r="Z140"/>
      <c r="AA140"/>
    </row>
  </sheetData>
  <sheetProtection insertRows="0" deleteRows="0" selectLockedCells="1"/>
  <mergeCells count="233">
    <mergeCell ref="M93:N93"/>
    <mergeCell ref="M94:N94"/>
    <mergeCell ref="F95:N95"/>
    <mergeCell ref="H97:I97"/>
    <mergeCell ref="K97:L97"/>
    <mergeCell ref="F93:G93"/>
    <mergeCell ref="H93:I93"/>
    <mergeCell ref="K93:L93"/>
    <mergeCell ref="F94:G94"/>
    <mergeCell ref="H94:I94"/>
    <mergeCell ref="K94:L94"/>
    <mergeCell ref="F96:G96"/>
    <mergeCell ref="H96:I96"/>
    <mergeCell ref="K96:L96"/>
    <mergeCell ref="F97:G97"/>
    <mergeCell ref="C134:E134"/>
    <mergeCell ref="M132:R132"/>
    <mergeCell ref="M134:R134"/>
    <mergeCell ref="C131:E131"/>
    <mergeCell ref="C132:E132"/>
    <mergeCell ref="C133:E133"/>
    <mergeCell ref="C135:E135"/>
    <mergeCell ref="M135:R135"/>
    <mergeCell ref="C79:F79"/>
    <mergeCell ref="K79:O79"/>
    <mergeCell ref="G79:J79"/>
    <mergeCell ref="H92:I92"/>
    <mergeCell ref="K92:L92"/>
    <mergeCell ref="C89:E89"/>
    <mergeCell ref="F89:G89"/>
    <mergeCell ref="H89:I89"/>
    <mergeCell ref="K89:L89"/>
    <mergeCell ref="F90:G90"/>
    <mergeCell ref="H90:I90"/>
    <mergeCell ref="K90:L90"/>
    <mergeCell ref="K81:O81"/>
    <mergeCell ref="G81:J81"/>
    <mergeCell ref="C80:F80"/>
    <mergeCell ref="C92:E92"/>
    <mergeCell ref="F19:H19"/>
    <mergeCell ref="F91:N91"/>
    <mergeCell ref="I19:K19"/>
    <mergeCell ref="M92:N92"/>
    <mergeCell ref="C91:E91"/>
    <mergeCell ref="C103:E103"/>
    <mergeCell ref="F103:G103"/>
    <mergeCell ref="H103:I103"/>
    <mergeCell ref="K103:L103"/>
    <mergeCell ref="F98:G98"/>
    <mergeCell ref="H98:I98"/>
    <mergeCell ref="K98:L98"/>
    <mergeCell ref="C101:E101"/>
    <mergeCell ref="C102:E102"/>
    <mergeCell ref="F102:G102"/>
    <mergeCell ref="G82:J82"/>
    <mergeCell ref="K83:O83"/>
    <mergeCell ref="G83:J83"/>
    <mergeCell ref="C86:F86"/>
    <mergeCell ref="F87:N87"/>
    <mergeCell ref="M88:N88"/>
    <mergeCell ref="M89:N89"/>
    <mergeCell ref="M90:N90"/>
    <mergeCell ref="F92:G92"/>
    <mergeCell ref="G6:R6"/>
    <mergeCell ref="G8:R8"/>
    <mergeCell ref="G10:R10"/>
    <mergeCell ref="I12:K12"/>
    <mergeCell ref="I13:K13"/>
    <mergeCell ref="I15:K15"/>
    <mergeCell ref="I14:K14"/>
    <mergeCell ref="I16:K16"/>
    <mergeCell ref="N18:P18"/>
    <mergeCell ref="I18:K18"/>
    <mergeCell ref="G12:H12"/>
    <mergeCell ref="G13:H13"/>
    <mergeCell ref="G15:H15"/>
    <mergeCell ref="F14:H14"/>
    <mergeCell ref="F18:H18"/>
    <mergeCell ref="I17:K17"/>
    <mergeCell ref="E17:H17"/>
    <mergeCell ref="E16:H16"/>
    <mergeCell ref="D71:R71"/>
    <mergeCell ref="D72:R72"/>
    <mergeCell ref="D74:R74"/>
    <mergeCell ref="D75:R75"/>
    <mergeCell ref="D73:R73"/>
    <mergeCell ref="F101:N101"/>
    <mergeCell ref="H108:I108"/>
    <mergeCell ref="K108:L108"/>
    <mergeCell ref="F104:G104"/>
    <mergeCell ref="H104:I104"/>
    <mergeCell ref="K104:L104"/>
    <mergeCell ref="C87:E87"/>
    <mergeCell ref="C88:E88"/>
    <mergeCell ref="F88:G88"/>
    <mergeCell ref="H88:I88"/>
    <mergeCell ref="K88:L88"/>
    <mergeCell ref="C82:F83"/>
    <mergeCell ref="K82:O82"/>
    <mergeCell ref="K80:O80"/>
    <mergeCell ref="G80:J80"/>
    <mergeCell ref="C81:F81"/>
    <mergeCell ref="M96:N96"/>
    <mergeCell ref="M97:N97"/>
    <mergeCell ref="M98:N98"/>
    <mergeCell ref="E60:R60"/>
    <mergeCell ref="E61:R61"/>
    <mergeCell ref="E62:S62"/>
    <mergeCell ref="E63:S63"/>
    <mergeCell ref="E64:S64"/>
    <mergeCell ref="E65:S65"/>
    <mergeCell ref="E66:S66"/>
    <mergeCell ref="E69:R69"/>
    <mergeCell ref="E70:S70"/>
    <mergeCell ref="K125:L125"/>
    <mergeCell ref="J130:L130"/>
    <mergeCell ref="F133:I133"/>
    <mergeCell ref="J123:M123"/>
    <mergeCell ref="F124:G124"/>
    <mergeCell ref="H124:I124"/>
    <mergeCell ref="K124:L124"/>
    <mergeCell ref="F119:G119"/>
    <mergeCell ref="H119:I119"/>
    <mergeCell ref="K119:L119"/>
    <mergeCell ref="F125:G125"/>
    <mergeCell ref="H125:I125"/>
    <mergeCell ref="M131:R131"/>
    <mergeCell ref="F131:I131"/>
    <mergeCell ref="J131:L131"/>
    <mergeCell ref="M133:R133"/>
    <mergeCell ref="J133:L133"/>
    <mergeCell ref="E116:J116"/>
    <mergeCell ref="K116:R116"/>
    <mergeCell ref="E117:E118"/>
    <mergeCell ref="M112:N112"/>
    <mergeCell ref="M103:N103"/>
    <mergeCell ref="M104:N104"/>
    <mergeCell ref="F105:N105"/>
    <mergeCell ref="M102:N102"/>
    <mergeCell ref="M107:N107"/>
    <mergeCell ref="M108:N108"/>
    <mergeCell ref="H106:I106"/>
    <mergeCell ref="K106:L106"/>
    <mergeCell ref="H102:I102"/>
    <mergeCell ref="C105:E105"/>
    <mergeCell ref="C106:E106"/>
    <mergeCell ref="K102:L102"/>
    <mergeCell ref="M106:N106"/>
    <mergeCell ref="F110:G110"/>
    <mergeCell ref="F106:G106"/>
    <mergeCell ref="C119:D119"/>
    <mergeCell ref="C123:D124"/>
    <mergeCell ref="C125:D125"/>
    <mergeCell ref="F130:I130"/>
    <mergeCell ref="F129:L129"/>
    <mergeCell ref="C129:E130"/>
    <mergeCell ref="C128:E128"/>
    <mergeCell ref="K111:L111"/>
    <mergeCell ref="F107:G107"/>
    <mergeCell ref="H107:I107"/>
    <mergeCell ref="K107:L107"/>
    <mergeCell ref="F108:G108"/>
    <mergeCell ref="H110:I110"/>
    <mergeCell ref="K110:L110"/>
    <mergeCell ref="F109:N109"/>
    <mergeCell ref="M110:N110"/>
    <mergeCell ref="M111:N111"/>
    <mergeCell ref="H111:I111"/>
    <mergeCell ref="F111:G111"/>
    <mergeCell ref="C116:D118"/>
    <mergeCell ref="F112:G112"/>
    <mergeCell ref="H112:I112"/>
    <mergeCell ref="K112:L112"/>
    <mergeCell ref="C115:J115"/>
    <mergeCell ref="J137:L137"/>
    <mergeCell ref="M137:R137"/>
    <mergeCell ref="C138:E138"/>
    <mergeCell ref="C122:J122"/>
    <mergeCell ref="E123:I123"/>
    <mergeCell ref="F134:I134"/>
    <mergeCell ref="P119:R119"/>
    <mergeCell ref="K117:L118"/>
    <mergeCell ref="M117:M118"/>
    <mergeCell ref="N117:R117"/>
    <mergeCell ref="H118:I118"/>
    <mergeCell ref="N118:O118"/>
    <mergeCell ref="P118:R118"/>
    <mergeCell ref="F117:G118"/>
    <mergeCell ref="H117:J117"/>
    <mergeCell ref="N119:O119"/>
    <mergeCell ref="M129:R130"/>
    <mergeCell ref="N123:P124"/>
    <mergeCell ref="N125:P125"/>
    <mergeCell ref="F135:I135"/>
    <mergeCell ref="J135:L135"/>
    <mergeCell ref="F132:I132"/>
    <mergeCell ref="J132:L132"/>
    <mergeCell ref="J134:L134"/>
    <mergeCell ref="F138:I138"/>
    <mergeCell ref="J138:L138"/>
    <mergeCell ref="M138:R138"/>
    <mergeCell ref="C139:E139"/>
    <mergeCell ref="F139:I139"/>
    <mergeCell ref="J139:L139"/>
    <mergeCell ref="M139:R139"/>
    <mergeCell ref="C120:D120"/>
    <mergeCell ref="F120:G120"/>
    <mergeCell ref="H120:I120"/>
    <mergeCell ref="K120:L120"/>
    <mergeCell ref="N120:O120"/>
    <mergeCell ref="P120:R120"/>
    <mergeCell ref="C126:D126"/>
    <mergeCell ref="F126:G126"/>
    <mergeCell ref="H126:I126"/>
    <mergeCell ref="K126:L126"/>
    <mergeCell ref="N126:P126"/>
    <mergeCell ref="C136:E136"/>
    <mergeCell ref="F136:I136"/>
    <mergeCell ref="J136:L136"/>
    <mergeCell ref="M136:R136"/>
    <mergeCell ref="C137:E137"/>
    <mergeCell ref="F137:I137"/>
    <mergeCell ref="D42:R42"/>
    <mergeCell ref="D43:R44"/>
    <mergeCell ref="D45:R46"/>
    <mergeCell ref="D48:R48"/>
    <mergeCell ref="D49:R49"/>
    <mergeCell ref="D51:R51"/>
    <mergeCell ref="D52:R52"/>
    <mergeCell ref="D56:R58"/>
    <mergeCell ref="E59:R59"/>
    <mergeCell ref="D47:R47"/>
    <mergeCell ref="D50:R50"/>
  </mergeCells>
  <phoneticPr fontId="1"/>
  <pageMargins left="0.7" right="0.7" top="0.75" bottom="0.75" header="0.3" footer="0.3"/>
  <pageSetup paperSize="9" orientation="portrait" horizontalDpi="300" verticalDpi="300"/>
  <rowBreaks count="3" manualBreakCount="3">
    <brk id="39" max="16383" man="1"/>
    <brk id="53" max="16383" man="1"/>
    <brk id="76" max="16383" man="1"/>
  </rowBreaks>
  <colBreaks count="1" manualBreakCount="1">
    <brk id="1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データ!$B$2:$B$25</xm:f>
          </x14:formula1>
          <xm:sqref>C131:E139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6"/>
  <sheetViews>
    <sheetView zoomScale="73" zoomScaleNormal="73" workbookViewId="0">
      <selection activeCell="C4" sqref="C4"/>
    </sheetView>
  </sheetViews>
  <sheetFormatPr defaultColWidth="9" defaultRowHeight="26.45" customHeight="1"/>
  <cols>
    <col min="1" max="1" width="1.75" style="16" customWidth="1"/>
    <col min="2" max="2" width="8.75" style="16" customWidth="1"/>
    <col min="3" max="3" width="7.75" style="16" customWidth="1"/>
    <col min="4" max="24" width="4.375" style="16" customWidth="1"/>
    <col min="25" max="26" width="4.375" style="44" customWidth="1"/>
    <col min="27" max="27" width="3.875" style="18" customWidth="1"/>
    <col min="28" max="28" width="7.75" style="45" customWidth="1"/>
    <col min="29" max="29" width="7.75" style="18" customWidth="1"/>
    <col min="30" max="30" width="3.625" style="16" customWidth="1"/>
    <col min="31" max="35" width="5.625" style="16" customWidth="1"/>
    <col min="36" max="16384" width="9" style="16"/>
  </cols>
  <sheetData>
    <row r="1" spans="2:35" ht="26.45" customHeight="1">
      <c r="B1" s="216" t="s">
        <v>307</v>
      </c>
      <c r="C1" s="33"/>
      <c r="D1" s="34"/>
      <c r="E1" s="32"/>
      <c r="F1" s="32"/>
      <c r="S1" s="32"/>
      <c r="T1" s="32"/>
      <c r="U1" s="32"/>
      <c r="V1" s="32"/>
      <c r="W1" s="32"/>
      <c r="X1" s="32"/>
    </row>
    <row r="2" spans="2:35" ht="26.45" customHeight="1">
      <c r="B2" s="215" t="s">
        <v>52</v>
      </c>
      <c r="C2" s="33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2:35" ht="26.45" customHeight="1">
      <c r="B3" s="35"/>
      <c r="C3" s="46" t="s">
        <v>239</v>
      </c>
      <c r="D3" s="423" t="s">
        <v>240</v>
      </c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F3"/>
      <c r="AG3"/>
      <c r="AH3"/>
      <c r="AI3"/>
    </row>
    <row r="4" spans="2:35" ht="26.45" customHeight="1">
      <c r="B4" s="428" t="s">
        <v>97</v>
      </c>
      <c r="C4" s="121"/>
      <c r="D4" s="47" t="str">
        <f>IF(C4="〇","屋根(Ⅰ-","")</f>
        <v/>
      </c>
      <c r="E4" s="48"/>
      <c r="F4" s="8"/>
      <c r="G4" s="102"/>
      <c r="H4" s="427" t="str">
        <f>IF(G4="","",IF(G4=1,"鋼板",IF(G4=2,"鋼板（準防火仕様）",IF(G4=3,"スレート",IF(G4=4,"スレート（準防火仕様）",IF(G4=5,"瓦",IF(G4=6,"瓦（準防火仕様）")))))))</f>
        <v/>
      </c>
      <c r="I4" s="427"/>
      <c r="J4" s="427"/>
      <c r="K4" s="427"/>
      <c r="L4" s="427"/>
      <c r="M4" s="427"/>
      <c r="N4" s="427"/>
      <c r="O4" s="48" t="str">
        <f>IF(C4="〇","）","")</f>
        <v/>
      </c>
      <c r="P4" s="48"/>
      <c r="Q4" s="48"/>
      <c r="R4" s="48"/>
      <c r="S4" s="48"/>
      <c r="T4" s="48"/>
      <c r="U4" s="48"/>
      <c r="V4" s="49"/>
      <c r="W4" s="49"/>
      <c r="X4" s="49"/>
      <c r="Y4" s="425" t="str">
        <f>IF(G4="","",IF(G4=1,0.28,IF(G4=2,0.35,IF(G4=3,0.39,IF(G4=4,0.46,IF(G4=5,0.8,IF(G4=6,0.87)))))))</f>
        <v/>
      </c>
      <c r="Z4" s="425"/>
      <c r="AA4" s="50" t="str">
        <f t="shared" ref="AA4:AA13" si="0">IF(C4="〇","＝","")</f>
        <v/>
      </c>
      <c r="AB4" s="50" t="str">
        <f>IF(G4="","",Y4)</f>
        <v/>
      </c>
      <c r="AC4" s="51" t="str">
        <f t="shared" ref="AC4:AC11" si="1">IF(C4="〇","kN/㎡","")</f>
        <v/>
      </c>
      <c r="AF4"/>
      <c r="AG4"/>
      <c r="AH4"/>
      <c r="AI4"/>
    </row>
    <row r="5" spans="2:35" ht="26.45" customHeight="1">
      <c r="B5" s="429"/>
      <c r="C5" s="121"/>
      <c r="D5" s="122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5"/>
      <c r="W5" s="125"/>
      <c r="X5" s="125"/>
      <c r="Y5" s="125"/>
      <c r="Z5" s="125"/>
      <c r="AA5" s="120" t="str">
        <f t="shared" si="0"/>
        <v/>
      </c>
      <c r="AB5" s="142"/>
      <c r="AC5" s="51" t="str">
        <f t="shared" si="1"/>
        <v/>
      </c>
      <c r="AF5"/>
      <c r="AG5"/>
      <c r="AH5"/>
      <c r="AI5"/>
    </row>
    <row r="6" spans="2:35" ht="26.45" customHeight="1">
      <c r="B6" s="428" t="s">
        <v>98</v>
      </c>
      <c r="C6" s="121"/>
      <c r="D6" s="85" t="str">
        <f>IF(C6="〇","屋根(Ⅰ-","")</f>
        <v/>
      </c>
      <c r="E6" s="86"/>
      <c r="G6" s="103"/>
      <c r="H6" s="427" t="str">
        <f>IF(G6="","",IF(G6=1,"鋼板",IF(G6=2,"鋼板（準防火仕様）",IF(G6=3,"スレート",IF(G6=4,"スレート（準防火仕様）",IF(G6=5,"瓦",IF(G6=6,"瓦（準防火仕様）")))))))</f>
        <v/>
      </c>
      <c r="I6" s="427"/>
      <c r="J6" s="427"/>
      <c r="K6" s="427"/>
      <c r="L6" s="427"/>
      <c r="M6" s="427"/>
      <c r="N6" s="427"/>
      <c r="O6" s="48" t="str">
        <f>IF(C6="〇","）","")</f>
        <v/>
      </c>
      <c r="P6" s="48"/>
      <c r="Q6" s="48"/>
      <c r="R6" s="48"/>
      <c r="S6" s="48"/>
      <c r="T6" s="48"/>
      <c r="U6" s="48"/>
      <c r="V6" s="49"/>
      <c r="W6" s="49"/>
      <c r="X6" s="49"/>
      <c r="Y6" s="425" t="str">
        <f>IF(G6="","",IF(G6=1,0.28,IF(G6=2,0.35,IF(G6=3,0.39,IF(G6=4,0.46,IF(G6=5,0.8,IF(G6=6,0.87)))))))</f>
        <v/>
      </c>
      <c r="Z6" s="425"/>
      <c r="AA6" s="120" t="str">
        <f t="shared" si="0"/>
        <v/>
      </c>
      <c r="AB6" s="50" t="str">
        <f>IF(G6="","",Y6)</f>
        <v/>
      </c>
      <c r="AC6" s="51" t="str">
        <f t="shared" si="1"/>
        <v/>
      </c>
      <c r="AF6"/>
      <c r="AG6"/>
      <c r="AH6"/>
      <c r="AI6"/>
    </row>
    <row r="7" spans="2:35" ht="26.45" customHeight="1">
      <c r="B7" s="429"/>
      <c r="C7" s="121"/>
      <c r="D7" s="1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5"/>
      <c r="W7" s="125"/>
      <c r="X7" s="125"/>
      <c r="Y7" s="125"/>
      <c r="Z7" s="125"/>
      <c r="AA7" s="120" t="str">
        <f t="shared" si="0"/>
        <v/>
      </c>
      <c r="AB7" s="142"/>
      <c r="AC7" s="51" t="str">
        <f t="shared" si="1"/>
        <v/>
      </c>
      <c r="AF7"/>
      <c r="AG7"/>
      <c r="AH7"/>
      <c r="AI7"/>
    </row>
    <row r="8" spans="2:35" ht="26.45" customHeight="1">
      <c r="B8" s="428" t="s">
        <v>48</v>
      </c>
      <c r="C8" s="121"/>
      <c r="D8" s="52" t="str">
        <f>IF(C8="〇","小屋組・天井（Ⅱ-","")</f>
        <v/>
      </c>
      <c r="E8" s="53"/>
      <c r="F8" s="53"/>
      <c r="G8" s="53"/>
      <c r="H8" s="8"/>
      <c r="I8" s="104"/>
      <c r="J8" s="54" t="str">
        <f>IF(C8="〇","）+ 1階内壁（Ⅵ-","")</f>
        <v/>
      </c>
      <c r="K8" s="53"/>
      <c r="L8" s="53"/>
      <c r="M8" s="55"/>
      <c r="O8" s="105"/>
      <c r="P8" s="106"/>
      <c r="Q8" s="55" t="str">
        <f>IF(C8="〇","）","")</f>
        <v/>
      </c>
      <c r="R8" s="53"/>
      <c r="S8" s="18"/>
      <c r="T8" s="18"/>
      <c r="U8" s="18"/>
      <c r="V8" s="421" t="str">
        <f>IF(I8=1,0.46,IF(I8=2,0.56,""))</f>
        <v/>
      </c>
      <c r="W8" s="421"/>
      <c r="X8" s="56" t="str">
        <f>IF(P8="","","+")</f>
        <v/>
      </c>
      <c r="Y8" s="421" t="str">
        <f>IF(P8="","",IF(O8="",0,IF(O8="1-",IF(P8=1,0.13,IF(P8=2,0.19,IF(P8=3,0.24,IF(P8=4,0.35,IF(P8=5,0.38,IF(P8=6,0.4)))))),IF(O8="2-",IF(P8=1,0.23,IF(P8=2,0.33,IF(P8=3,0.42,IF(P8=4,0.62,IF(P8=5,0.67,IF(P8=6,0.71))))))))))</f>
        <v/>
      </c>
      <c r="Z8" s="421"/>
      <c r="AA8" s="120" t="str">
        <f t="shared" si="0"/>
        <v/>
      </c>
      <c r="AB8" s="56" t="str">
        <f>IF(I8="","",IF(P8="",V8,V8+Y8))</f>
        <v/>
      </c>
      <c r="AC8" s="51" t="str">
        <f t="shared" si="1"/>
        <v/>
      </c>
      <c r="AF8"/>
      <c r="AG8"/>
      <c r="AH8"/>
      <c r="AI8"/>
    </row>
    <row r="9" spans="2:35" ht="26.45" customHeight="1">
      <c r="B9" s="429"/>
      <c r="C9" s="121"/>
      <c r="D9" s="126"/>
      <c r="E9" s="127"/>
      <c r="F9" s="127"/>
      <c r="G9" s="127"/>
      <c r="H9" s="124"/>
      <c r="I9" s="124"/>
      <c r="J9" s="127"/>
      <c r="K9" s="128"/>
      <c r="L9" s="127"/>
      <c r="M9" s="127"/>
      <c r="N9" s="127"/>
      <c r="O9" s="127"/>
      <c r="P9" s="127"/>
      <c r="Q9" s="127"/>
      <c r="R9" s="129"/>
      <c r="S9" s="127"/>
      <c r="T9" s="127"/>
      <c r="U9" s="127"/>
      <c r="V9" s="130"/>
      <c r="W9" s="130"/>
      <c r="X9" s="130"/>
      <c r="Y9" s="130"/>
      <c r="Z9" s="130"/>
      <c r="AA9" s="120" t="str">
        <f t="shared" si="0"/>
        <v/>
      </c>
      <c r="AB9" s="143"/>
      <c r="AC9" s="51" t="str">
        <f t="shared" si="1"/>
        <v/>
      </c>
      <c r="AF9"/>
      <c r="AG9"/>
      <c r="AH9"/>
      <c r="AI9"/>
    </row>
    <row r="10" spans="2:35" ht="26.45" customHeight="1">
      <c r="B10" s="428" t="s">
        <v>65</v>
      </c>
      <c r="C10" s="121"/>
      <c r="D10" s="52" t="str">
        <f>IF(C10="〇","小屋組・天井（Ⅱ-","")</f>
        <v/>
      </c>
      <c r="E10" s="53"/>
      <c r="F10" s="53"/>
      <c r="G10" s="53"/>
      <c r="H10" s="8"/>
      <c r="I10" s="104"/>
      <c r="J10" s="119" t="str">
        <f>IF(C10="〇","）+ 2階内壁（Ⅵ-","")</f>
        <v/>
      </c>
      <c r="K10" s="53"/>
      <c r="L10" s="53"/>
      <c r="M10" s="55"/>
      <c r="N10" s="8"/>
      <c r="O10" s="105"/>
      <c r="P10" s="106"/>
      <c r="Q10" s="55" t="str">
        <f>IF(C10="〇","）","")</f>
        <v/>
      </c>
      <c r="R10" s="53"/>
      <c r="S10" s="18"/>
      <c r="T10" s="18"/>
      <c r="U10" s="18"/>
      <c r="V10" s="421" t="str">
        <f>IF(I10=1,0.46,IF(I10=2,0.56,""))</f>
        <v/>
      </c>
      <c r="W10" s="421"/>
      <c r="X10" s="56" t="str">
        <f>IF(P10="","","+")</f>
        <v/>
      </c>
      <c r="Y10" s="421" t="str">
        <f>IF(P10="","",IF(O10="",0,IF(O10="1-",IF(P10=1,0.13,IF(P10=2,0.19,IF(P10=3,0.24,IF(P10=4,0.35,IF(P10=5,0.38,IF(P10=6,0.4)))))),IF(O10="2-",IF(P10=1,0.23,IF(P10=2,0.33,IF(P10=3,0.42,IF(P10=4,0.62,IF(P10=5,0.67,IF(P10=6,0.71))))))))))</f>
        <v/>
      </c>
      <c r="Z10" s="421"/>
      <c r="AA10" s="120" t="str">
        <f t="shared" si="0"/>
        <v/>
      </c>
      <c r="AB10" s="56" t="str">
        <f>IF(I10="","",IF(P10="",V10,V10+Y10))</f>
        <v/>
      </c>
      <c r="AC10" s="51" t="str">
        <f t="shared" si="1"/>
        <v/>
      </c>
      <c r="AF10"/>
      <c r="AG10"/>
      <c r="AH10"/>
      <c r="AI10"/>
    </row>
    <row r="11" spans="2:35" ht="26.45" customHeight="1">
      <c r="B11" s="429"/>
      <c r="C11" s="121"/>
      <c r="D11" s="126"/>
      <c r="E11" s="127"/>
      <c r="F11" s="131"/>
      <c r="G11" s="131"/>
      <c r="H11" s="131"/>
      <c r="I11" s="132"/>
      <c r="J11" s="131"/>
      <c r="K11" s="131"/>
      <c r="L11" s="131"/>
      <c r="M11" s="131"/>
      <c r="N11" s="131"/>
      <c r="O11" s="131"/>
      <c r="P11" s="131"/>
      <c r="Q11" s="131"/>
      <c r="R11" s="131"/>
      <c r="S11" s="127"/>
      <c r="T11" s="127"/>
      <c r="U11" s="127"/>
      <c r="V11" s="130"/>
      <c r="W11" s="130"/>
      <c r="X11" s="130"/>
      <c r="Y11" s="130"/>
      <c r="Z11" s="130"/>
      <c r="AA11" s="120" t="str">
        <f t="shared" si="0"/>
        <v/>
      </c>
      <c r="AB11" s="143"/>
      <c r="AC11" s="51" t="str">
        <f t="shared" si="1"/>
        <v/>
      </c>
      <c r="AF11"/>
      <c r="AG11"/>
      <c r="AH11"/>
      <c r="AI11"/>
    </row>
    <row r="12" spans="2:35" ht="26.45" customHeight="1">
      <c r="B12" s="428" t="s">
        <v>93</v>
      </c>
      <c r="C12" s="121"/>
      <c r="D12" s="52" t="str">
        <f>IF(C12="〇","1階外壁（Ⅳ-　","")</f>
        <v/>
      </c>
      <c r="E12" s="53"/>
      <c r="F12" s="53"/>
      <c r="H12" s="104"/>
      <c r="I12" s="53" t="str">
        <f>IF(C12="〇",")","")</f>
        <v/>
      </c>
      <c r="K12" s="53"/>
      <c r="L12" s="53"/>
      <c r="M12" s="53"/>
      <c r="N12" s="53"/>
      <c r="Q12" s="53"/>
      <c r="R12" s="53"/>
      <c r="S12" s="53"/>
      <c r="T12" s="53"/>
      <c r="U12" s="53"/>
      <c r="V12" s="58"/>
      <c r="W12" s="58"/>
      <c r="X12" s="58"/>
      <c r="Y12" s="421" t="str">
        <f>IF(H12="","",IF(H12=1,0.37,IF(H12=2,0.49,IF(H12=3,0.65,IF(H12=4,0.96,IF(H12=5,0.96,IF(H12=6,0.99,IF(H12=7,1.07,IF(H12=8,1.08,IF(H12=9,1.09,IF(H12=10,1.1,IF(H12=11,1.13,IF(H12=12,1.17,IF(H12=13,1.19,IF(H12=14,1.2,IF(H12=15,1.23,IF(H12=16,1.27,IF(H12=17,1.33,IF(H12=18,1.37,IF(H12=19,1.46,IF(H12=20,1.52)))))))))))))))))))))</f>
        <v/>
      </c>
      <c r="Z12" s="421"/>
      <c r="AA12" s="120" t="str">
        <f t="shared" si="0"/>
        <v/>
      </c>
      <c r="AB12" s="56" t="str">
        <f>IF(H12="","",Y12)</f>
        <v/>
      </c>
      <c r="AC12" s="51" t="str">
        <f>IF(C12="〇","kN/m","")</f>
        <v/>
      </c>
      <c r="AF12"/>
      <c r="AG12"/>
      <c r="AH12"/>
      <c r="AI12"/>
    </row>
    <row r="13" spans="2:35" ht="26.45" customHeight="1">
      <c r="B13" s="429"/>
      <c r="C13" s="121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30"/>
      <c r="W13" s="130"/>
      <c r="X13" s="130"/>
      <c r="Y13" s="130"/>
      <c r="Z13" s="130"/>
      <c r="AA13" s="120" t="str">
        <f t="shared" si="0"/>
        <v/>
      </c>
      <c r="AB13" s="143"/>
      <c r="AC13" s="51" t="str">
        <f>IF(C13="〇","kN/m","")</f>
        <v/>
      </c>
      <c r="AF13"/>
      <c r="AG13"/>
      <c r="AH13"/>
      <c r="AI13"/>
    </row>
    <row r="14" spans="2:35" ht="26.45" customHeight="1">
      <c r="B14" s="431" t="s">
        <v>194</v>
      </c>
      <c r="C14" s="394"/>
      <c r="D14" s="418" t="str">
        <f>IF(C14="〇","1階壁高さ（ｍ）　/　2.7（ｍ）","")</f>
        <v/>
      </c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20"/>
      <c r="AF14"/>
      <c r="AG14"/>
      <c r="AH14"/>
      <c r="AI14"/>
    </row>
    <row r="15" spans="2:35" ht="26.45" customHeight="1">
      <c r="B15" s="432"/>
      <c r="C15" s="395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1"/>
      <c r="V15" s="426"/>
      <c r="W15" s="426"/>
      <c r="X15" s="62" t="str">
        <f>IF(C14="〇","÷","")</f>
        <v/>
      </c>
      <c r="Y15" s="422" t="str">
        <f>IF(C14="〇",2.7,"")</f>
        <v/>
      </c>
      <c r="Z15" s="422"/>
      <c r="AA15" s="120" t="str">
        <f>IF(C15="〇","＝","")</f>
        <v/>
      </c>
      <c r="AB15" s="63" t="str">
        <f>IF(C14="〇",V15/Y15,"")</f>
        <v/>
      </c>
      <c r="AC15" s="64"/>
      <c r="AF15"/>
      <c r="AG15"/>
      <c r="AH15"/>
      <c r="AI15"/>
    </row>
    <row r="16" spans="2:35" ht="26.45" customHeight="1">
      <c r="B16" s="428" t="s">
        <v>94</v>
      </c>
      <c r="C16" s="121"/>
      <c r="D16" s="52" t="str">
        <f>IF(C16="〇","1階外壁（Ⅳ-　","")</f>
        <v/>
      </c>
      <c r="E16" s="53"/>
      <c r="F16" s="53"/>
      <c r="H16" s="104"/>
      <c r="I16" s="53" t="str">
        <f>IF(C16="〇",")","")</f>
        <v/>
      </c>
      <c r="K16" s="53"/>
      <c r="L16" s="53"/>
      <c r="M16" s="53"/>
      <c r="N16" s="53"/>
      <c r="O16" s="53"/>
      <c r="P16" s="53"/>
      <c r="Q16" s="53"/>
      <c r="R16" s="53"/>
      <c r="S16" s="53"/>
      <c r="T16" s="58"/>
      <c r="U16" s="58"/>
      <c r="V16" s="58"/>
      <c r="W16" s="58"/>
      <c r="X16" s="58"/>
      <c r="Y16" s="421" t="str">
        <f>IF(H16="","",IF(H16=1,0.37,IF(H16=2,0.49,IF(H16=3,0.65,IF(H16=4,0.96,IF(H16=5,0.96,IF(H16=6,0.99,IF(H16=7,1.07,IF(H16=8,1.08,IF(H16=9,1.09,IF(H16=10,1.1,IF(H16=11,1.13,IF(H16=12,1.17,IF(H16=13,1.19,IF(H16=14,1.2,IF(H16=15,1.23,IF(H16=16,1.27,IF(H16=17,1.33,IF(H16=18,1.37,IF(H16=19,1.46,IF(H16=20,1.52)))))))))))))))))))))</f>
        <v/>
      </c>
      <c r="Z16" s="421"/>
      <c r="AA16" s="120" t="str">
        <f>IF(C16="〇","＝","")</f>
        <v/>
      </c>
      <c r="AB16" s="56" t="str">
        <f>IF(H16="","",Y16)</f>
        <v/>
      </c>
      <c r="AC16" s="51" t="str">
        <f>IF(C16="〇","kN/m","")</f>
        <v/>
      </c>
      <c r="AF16"/>
      <c r="AG16"/>
      <c r="AH16"/>
      <c r="AI16"/>
    </row>
    <row r="17" spans="2:35" ht="26.45" customHeight="1">
      <c r="B17" s="429"/>
      <c r="C17" s="121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30"/>
      <c r="U17" s="130"/>
      <c r="V17" s="130"/>
      <c r="W17" s="130"/>
      <c r="X17" s="130"/>
      <c r="Y17" s="130"/>
      <c r="Z17" s="130"/>
      <c r="AA17" s="120" t="str">
        <f>IF(C17="〇","＝","")</f>
        <v/>
      </c>
      <c r="AB17" s="143"/>
      <c r="AC17" s="51" t="str">
        <f>IF(C17="〇","kN/m","")</f>
        <v/>
      </c>
      <c r="AE17" s="39"/>
      <c r="AF17"/>
      <c r="AG17"/>
      <c r="AH17"/>
      <c r="AI17"/>
    </row>
    <row r="18" spans="2:35" ht="26.45" customHeight="1">
      <c r="B18" s="431" t="s">
        <v>195</v>
      </c>
      <c r="C18" s="394"/>
      <c r="D18" s="418" t="str">
        <f>IF(C18="〇","2階壁高さ（ｍ）　/　2.7（ｍ）","")</f>
        <v/>
      </c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20"/>
      <c r="AE18" s="39"/>
      <c r="AF18"/>
      <c r="AG18"/>
      <c r="AH18"/>
      <c r="AI18"/>
    </row>
    <row r="19" spans="2:35" ht="26.45" customHeight="1">
      <c r="B19" s="432"/>
      <c r="C19" s="395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1"/>
      <c r="T19" s="61"/>
      <c r="U19" s="61"/>
      <c r="V19" s="426"/>
      <c r="W19" s="426"/>
      <c r="X19" s="62" t="str">
        <f>IF(C18="〇","÷","")</f>
        <v/>
      </c>
      <c r="Y19" s="422" t="str">
        <f>IF(C18="〇",2.7,"")</f>
        <v/>
      </c>
      <c r="Z19" s="422"/>
      <c r="AA19" s="120" t="str">
        <f>IF(C19="〇","＝","")</f>
        <v/>
      </c>
      <c r="AB19" s="63" t="str">
        <f>IF(C18="〇",V19/Y19,"")</f>
        <v/>
      </c>
      <c r="AC19" s="64"/>
      <c r="AE19" s="39"/>
      <c r="AF19"/>
      <c r="AG19"/>
      <c r="AH19"/>
      <c r="AI19"/>
    </row>
    <row r="20" spans="2:35" ht="26.45" customHeight="1">
      <c r="B20" s="428" t="s">
        <v>100</v>
      </c>
      <c r="C20" s="394"/>
      <c r="D20" s="65" t="str">
        <f>IF(C20="〇","2階床(Ⅲ-　","")</f>
        <v/>
      </c>
      <c r="E20" s="66"/>
      <c r="F20" s="66"/>
      <c r="G20" s="107"/>
      <c r="H20" s="66" t="str">
        <f>IF(C20="〇",")+2階内壁(Ⅵ-","")</f>
        <v/>
      </c>
      <c r="I20" s="66"/>
      <c r="J20" s="66"/>
      <c r="L20" s="107"/>
      <c r="M20" s="107"/>
      <c r="N20" s="75" t="str">
        <f>IF(C20="〇",")+1階内壁(Ⅵ-","")</f>
        <v/>
      </c>
      <c r="O20" s="66"/>
      <c r="P20" s="66"/>
      <c r="Q20" s="66"/>
      <c r="S20" s="107"/>
      <c r="T20" s="107"/>
      <c r="U20" s="66" t="str">
        <f>IF(C20="〇",")　+　2階積載荷重(Ⅸ-1)","")</f>
        <v/>
      </c>
      <c r="V20" s="67"/>
      <c r="W20" s="67"/>
      <c r="X20" s="67"/>
      <c r="Y20" s="67"/>
      <c r="Z20" s="67"/>
      <c r="AA20" s="67"/>
      <c r="AB20" s="67"/>
      <c r="AC20" s="68"/>
      <c r="AE20" s="39"/>
      <c r="AF20"/>
      <c r="AG20"/>
      <c r="AH20"/>
      <c r="AI20"/>
    </row>
    <row r="21" spans="2:35" ht="26.45" customHeight="1">
      <c r="B21" s="433"/>
      <c r="C21" s="395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424" t="str">
        <f>IF(G20="","",IF(G20=1,0.37,IF(G20=2,0.41,IF(G20=3,0.46,IF(G20=4,0.46,IF(G20=5,0.47,IF(G20=6,0.49,IF(G20=7,0.72))))))))</f>
        <v/>
      </c>
      <c r="Q21" s="424"/>
      <c r="R21" s="71" t="str">
        <f>IF(M20="","","+")</f>
        <v/>
      </c>
      <c r="S21" s="393" t="str">
        <f>IF(M20="","",IF(L20="",0,IF(L20="1-",IF(M20=1,0.13,IF(M20=2,0.19,IF(M20=3,0.24,IF(M20=4,0.35,IF(M20=5,0.38,IF(M20=6,0.4)))))),IF(M20=1,0.23,IF(M20=2,0.33,IF(M20=3,0.42,IF(M20=4,0.62,IF(M20=5,0.66,IF(M20=6,0.71)))))))))</f>
        <v/>
      </c>
      <c r="T21" s="393"/>
      <c r="U21" s="72" t="str">
        <f>IF(T20="","","+")</f>
        <v/>
      </c>
      <c r="V21" s="393" t="str">
        <f>IF(T20="","",IF(S20="",0,IF(S20="1-",IF(T20=1,0.13,IF(T20=2,0.19,IF(T20=3,0.24,IF(T20=4,0.35,IF(T20=5,0.38,IF(T20=6,0.4)))))),IF(T20=1,0.23,IF(T20=2,0.33,IF(T20=3,0.42,IF(T20=4,0.62,IF(T20=5,0.66,IF(T20=6,0.71)))))))))</f>
        <v/>
      </c>
      <c r="W21" s="393"/>
      <c r="X21" s="72" t="str">
        <f>IF(G20="","","+")</f>
        <v/>
      </c>
      <c r="Y21" s="393" t="str">
        <f>IF(G20="","",0.6)</f>
        <v/>
      </c>
      <c r="Z21" s="393"/>
      <c r="AA21" s="73" t="str">
        <f>IF(C20="〇","＝","")</f>
        <v/>
      </c>
      <c r="AB21" s="72" t="str">
        <f>IF(G20="","",IF(AND(M20="",T20=""),P21+Y21,IF(M20="",P21+V21+Y21,IF(T20="",P21+S21+Y21,Y21+V21+S21+P21))))</f>
        <v/>
      </c>
      <c r="AC21" s="74" t="str">
        <f>IF(C20="〇","kN/㎡","")</f>
        <v/>
      </c>
      <c r="AF21"/>
      <c r="AG21"/>
      <c r="AH21"/>
      <c r="AI21"/>
    </row>
    <row r="22" spans="2:35" ht="26.45" customHeight="1">
      <c r="B22" s="433"/>
      <c r="C22" s="394"/>
      <c r="D22" s="133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5"/>
      <c r="Q22" s="135"/>
      <c r="R22" s="135"/>
      <c r="S22" s="136"/>
      <c r="T22" s="136"/>
      <c r="U22" s="136"/>
      <c r="V22" s="136"/>
      <c r="W22" s="136"/>
      <c r="X22" s="136"/>
      <c r="Y22" s="136"/>
      <c r="Z22" s="136"/>
      <c r="AA22" s="137"/>
      <c r="AB22" s="136"/>
      <c r="AC22" s="76"/>
      <c r="AF22"/>
      <c r="AG22"/>
      <c r="AH22"/>
      <c r="AI22"/>
    </row>
    <row r="23" spans="2:35" ht="26.45" customHeight="1">
      <c r="B23" s="429"/>
      <c r="C23" s="395"/>
      <c r="D23" s="138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9"/>
      <c r="T23" s="139"/>
      <c r="U23" s="139"/>
      <c r="V23" s="139"/>
      <c r="W23" s="139"/>
      <c r="X23" s="139"/>
      <c r="Y23" s="139"/>
      <c r="Z23" s="139"/>
      <c r="AA23" s="140" t="str">
        <f>IF(C22="〇","＝","")</f>
        <v/>
      </c>
      <c r="AB23" s="141"/>
      <c r="AC23" s="74" t="str">
        <f>IF(C22="〇","kN/㎡","")</f>
        <v/>
      </c>
      <c r="AF23"/>
      <c r="AG23"/>
      <c r="AH23"/>
      <c r="AI23"/>
    </row>
    <row r="24" spans="2:35" ht="26.45" customHeight="1">
      <c r="B24" s="428" t="s">
        <v>198</v>
      </c>
      <c r="C24" s="394"/>
      <c r="D24" s="65" t="str">
        <f>IF(C24="〇","2階床(Ⅲ-　","")</f>
        <v/>
      </c>
      <c r="E24" s="66"/>
      <c r="F24" s="66"/>
      <c r="G24" s="107"/>
      <c r="H24" s="66" t="str">
        <f>IF(C24="〇",")+2階内壁(Ⅵ-","")</f>
        <v/>
      </c>
      <c r="I24" s="66"/>
      <c r="J24" s="66"/>
      <c r="L24" s="107"/>
      <c r="M24" s="107"/>
      <c r="N24" s="75" t="str">
        <f>IF(C24="〇",")+1階内壁(Ⅵ-","")</f>
        <v/>
      </c>
      <c r="O24" s="66"/>
      <c r="P24" s="66"/>
      <c r="Q24" s="66"/>
      <c r="S24" s="107"/>
      <c r="T24" s="107"/>
      <c r="U24" s="66" t="str">
        <f>IF(C24="〇",")　+　2階積載荷重(Ⅸ-2)","")</f>
        <v/>
      </c>
      <c r="V24" s="67"/>
      <c r="W24" s="67"/>
      <c r="X24" s="67"/>
      <c r="Y24" s="67"/>
      <c r="Z24" s="67"/>
      <c r="AA24" s="67"/>
      <c r="AB24" s="67"/>
      <c r="AC24" s="68"/>
      <c r="AF24"/>
      <c r="AG24"/>
      <c r="AH24"/>
      <c r="AI24"/>
    </row>
    <row r="25" spans="2:35" ht="26.45" customHeight="1">
      <c r="B25" s="433"/>
      <c r="C25" s="395"/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424" t="str">
        <f>IF(G24="","",IF(G24=1,0.37,IF(G24=2,0.41,IF(G24=3,0.46,IF(G24=4,0.46,IF(G24=5,0.47,IF(G24=6,0.49,IF(G24=7,0.72))))))))</f>
        <v/>
      </c>
      <c r="Q25" s="424"/>
      <c r="R25" s="118" t="str">
        <f>IF(M24="","","+")</f>
        <v/>
      </c>
      <c r="S25" s="393" t="str">
        <f>IF(M24="","",IF(L24="",0,IF(L24="1-",IF(M24=1,0.13,IF(M24=2,0.19,IF(M24=3,0.24,IF(M24=4,0.35,IF(M24=5,0.38,IF(M24=6,0.4)))))),IF(M24=1,0.23,IF(M24=2,0.33,IF(M24=3,0.42,IF(M24=4,0.62,IF(M24=5,0.66,IF(M24=6,0.71)))))))))</f>
        <v/>
      </c>
      <c r="T25" s="393"/>
      <c r="U25" s="117" t="str">
        <f>IF(T24="","","+")</f>
        <v/>
      </c>
      <c r="V25" s="393" t="str">
        <f>IF(T24="","",IF(S24="",0,IF(S24="1-",IF(T24=1,0.13,IF(T24=2,0.19,IF(T24=3,0.24,IF(T24=4,0.35,IF(T24=5,0.38,IF(T24=6,0.4)))))),IF(S24="2-",IF(T24=1,0.23,IF(T24=2,0.33,IF(T24=3,0.42,IF(T24=4,0.62,IF(T24=5,0.66,IF(T24=6,0.71))))))))))</f>
        <v/>
      </c>
      <c r="W25" s="393"/>
      <c r="X25" s="72" t="str">
        <f>IF(G24="","","+")</f>
        <v/>
      </c>
      <c r="Y25" s="393" t="str">
        <f>IF(G24="","",1.3)</f>
        <v/>
      </c>
      <c r="Z25" s="393"/>
      <c r="AA25" s="73" t="str">
        <f>IF(C24="〇","＝","")</f>
        <v/>
      </c>
      <c r="AB25" s="72" t="str">
        <f>IF(G24="","",IF(AND(M24="",T24=""),P25+Y25,IF(M24="",P25+V25+Y25,IF(T24="",P25+S25+Y25,Y25+V25+S25+P25))))</f>
        <v/>
      </c>
      <c r="AC25" s="74" t="str">
        <f>IF(C24="〇","kN/㎡","")</f>
        <v/>
      </c>
    </row>
    <row r="26" spans="2:35" ht="26.45" customHeight="1">
      <c r="B26" s="433"/>
      <c r="C26" s="394"/>
      <c r="D26" s="133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5"/>
      <c r="Q26" s="135"/>
      <c r="R26" s="135"/>
      <c r="S26" s="136"/>
      <c r="T26" s="136"/>
      <c r="U26" s="136"/>
      <c r="V26" s="136"/>
      <c r="W26" s="136"/>
      <c r="X26" s="136"/>
      <c r="Y26" s="136"/>
      <c r="Z26" s="136"/>
      <c r="AA26" s="137"/>
      <c r="AB26" s="136"/>
      <c r="AC26" s="76"/>
    </row>
    <row r="27" spans="2:35" ht="26.45" customHeight="1">
      <c r="B27" s="429"/>
      <c r="C27" s="395"/>
      <c r="D27" s="13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9"/>
      <c r="T27" s="139"/>
      <c r="U27" s="139"/>
      <c r="V27" s="139"/>
      <c r="W27" s="139"/>
      <c r="X27" s="139"/>
      <c r="Y27" s="139"/>
      <c r="Z27" s="139"/>
      <c r="AA27" s="140" t="str">
        <f>IF(C26="〇","＝","")</f>
        <v/>
      </c>
      <c r="AB27" s="141"/>
      <c r="AC27" s="74" t="str">
        <f>IF(C26="〇","kN/㎡","")</f>
        <v/>
      </c>
    </row>
    <row r="28" spans="2:35" ht="26.45" customHeight="1">
      <c r="B28" s="415" t="s">
        <v>47</v>
      </c>
      <c r="C28" s="121"/>
      <c r="D28" s="52" t="str">
        <f>IF(C28="〇","やぎり（Ⅴ-　","")</f>
        <v/>
      </c>
      <c r="E28" s="53"/>
      <c r="F28" s="53"/>
      <c r="G28" s="8"/>
      <c r="H28" s="105"/>
      <c r="I28" s="104"/>
      <c r="J28" s="53" t="str">
        <f>IF(C28="〇",")","")</f>
        <v/>
      </c>
      <c r="K28" s="53"/>
      <c r="L28" s="53"/>
      <c r="M28" s="53"/>
      <c r="N28" s="53"/>
      <c r="O28" s="53"/>
      <c r="P28" s="53"/>
      <c r="Q28" s="53"/>
      <c r="R28" s="53"/>
      <c r="S28" s="58"/>
      <c r="T28" s="58"/>
      <c r="U28" s="58"/>
      <c r="V28" s="58"/>
      <c r="W28" s="58"/>
      <c r="X28" s="58"/>
      <c r="Y28" s="421" t="str">
        <f>IF(I28="","",IF(H28="1-",IF(I28=1,0.29,IF(I28=2,0.4,IF(I28=3,0.55,IF(I28=4,0.82,IF(I28=5,0.82,IF(I28=6,0.85,IF(I28=7,0.93,IF(I28=8,0.94,IF(I28=9,0.95,IF(I28=10,0.96,IF(I28=11,0.98,IF(I28=12,1.02,IF(I28=13,1.04,IF(I28=14,1.04,IF(I28=15,1.08,IF(I28=16,1.11,IF(I28=17,1.17,IF(I28=18,1.2,IF(I28=19,1.29))))))))))))))))))),IF(H28="2-",IF(I28=1,0.29,IF(I28=2,0.62,IF(I28=3,0.68,IF(I28=4,0.72,IF(I28=5,0.79,IF(I28=6,0.8,IF(I28=7,0.87,IF(I28=8,0.93,IF(I28=9,1.05,IF(I28=10,1.18,IF(I28=11,1.18,"NG"))))))))))))))</f>
        <v/>
      </c>
      <c r="Z28" s="421"/>
      <c r="AA28" s="120" t="str">
        <f>IF(C28="〇","＝","")</f>
        <v/>
      </c>
      <c r="AB28" s="56" t="str">
        <f>IF(I28="","",Y28)</f>
        <v/>
      </c>
      <c r="AC28" s="51" t="str">
        <f>IF(C28="〇","kN/m","")</f>
        <v/>
      </c>
    </row>
    <row r="29" spans="2:35" ht="26.45" customHeight="1">
      <c r="B29" s="430"/>
      <c r="C29" s="121"/>
      <c r="D29" s="126"/>
      <c r="E29" s="127"/>
      <c r="F29" s="127"/>
      <c r="G29" s="124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30"/>
      <c r="T29" s="130"/>
      <c r="U29" s="130"/>
      <c r="V29" s="130"/>
      <c r="W29" s="130"/>
      <c r="X29" s="130"/>
      <c r="Y29" s="130"/>
      <c r="Z29" s="130"/>
      <c r="AA29" s="142" t="str">
        <f t="shared" ref="AA29:AA37" si="2">IF(C29="〇","＝","")</f>
        <v/>
      </c>
      <c r="AB29" s="143"/>
      <c r="AC29" s="51" t="str">
        <f>IF(C29="〇","kN/m","")</f>
        <v/>
      </c>
    </row>
    <row r="30" spans="2:35" ht="26.45" customHeight="1">
      <c r="B30" s="415" t="s">
        <v>46</v>
      </c>
      <c r="C30" s="121"/>
      <c r="D30" s="52" t="str">
        <f>IF(C30="〇","やぎり（Ⅴ-　","")</f>
        <v/>
      </c>
      <c r="E30" s="53"/>
      <c r="F30" s="53"/>
      <c r="G30" s="8"/>
      <c r="H30" s="105"/>
      <c r="I30" s="104"/>
      <c r="J30" s="53" t="str">
        <f>IF(C30="〇",")","")</f>
        <v/>
      </c>
      <c r="K30" s="53"/>
      <c r="L30" s="53"/>
      <c r="M30" s="53"/>
      <c r="N30" s="53"/>
      <c r="O30" s="53"/>
      <c r="P30" s="53"/>
      <c r="Q30" s="53"/>
      <c r="R30" s="53"/>
      <c r="S30" s="58"/>
      <c r="T30" s="58"/>
      <c r="U30" s="58"/>
      <c r="V30" s="58"/>
      <c r="W30" s="58"/>
      <c r="X30" s="58"/>
      <c r="Y30" s="421" t="str">
        <f>IF(I30="","",IF(H30="1-",IF(I30=1,0.29,IF(I30=2,0.4,IF(I30=3,0.55,IF(I30=4,0.82,IF(I30=5,0.82,IF(I30=6,0.85,IF(I30=7,0.93,IF(I30=8,0.94,IF(I30=9,0.95,IF(I30=10,0.96,IF(I30=11,0.98,IF(I30=12,1.02,IF(I30=13,1.04,IF(I30=14,1.04,IF(I30=15,1.08,IF(I30=16,1.11,IF(I30=17,1.17,IF(I30=18,1.2,IF(I30=19,1.29))))))))))))))))))),IF(H30="2-",IF(I30=1,0.29,IF(I30=2,0.62,IF(I30=3,0.68,IF(I30=4,0.72,IF(I30=5,0.79,IF(I30=6,0.8,IF(I30=7,0.87,IF(I30=8,0.93,IF(I30=9,1.05,IF(I30=10,1.18,IF(I30=11,1.18,"NG"))))))))))))))</f>
        <v/>
      </c>
      <c r="Z30" s="421"/>
      <c r="AA30" s="120" t="str">
        <f t="shared" si="2"/>
        <v/>
      </c>
      <c r="AB30" s="56" t="str">
        <f>IF(I30="","",Y30)</f>
        <v/>
      </c>
      <c r="AC30" s="51" t="str">
        <f>IF(C30="〇","kN/m","")</f>
        <v/>
      </c>
    </row>
    <row r="31" spans="2:35" ht="26.45" customHeight="1">
      <c r="B31" s="430"/>
      <c r="C31" s="121"/>
      <c r="D31" s="126"/>
      <c r="E31" s="127"/>
      <c r="F31" s="127"/>
      <c r="G31" s="127"/>
      <c r="H31" s="127"/>
      <c r="I31" s="127"/>
      <c r="J31" s="127"/>
      <c r="K31" s="127"/>
      <c r="L31" s="127"/>
      <c r="M31" s="127"/>
      <c r="N31" s="124"/>
      <c r="O31" s="124"/>
      <c r="P31" s="124"/>
      <c r="Q31" s="124"/>
      <c r="R31" s="124"/>
      <c r="S31" s="130"/>
      <c r="T31" s="130"/>
      <c r="U31" s="130"/>
      <c r="V31" s="130"/>
      <c r="W31" s="130"/>
      <c r="X31" s="130"/>
      <c r="Y31" s="130"/>
      <c r="Z31" s="130"/>
      <c r="AA31" s="142" t="str">
        <f t="shared" si="2"/>
        <v/>
      </c>
      <c r="AB31" s="143"/>
      <c r="AC31" s="51" t="str">
        <f>IF(C31="〇","kN/m","")</f>
        <v/>
      </c>
    </row>
    <row r="32" spans="2:35" ht="26.45" customHeight="1">
      <c r="B32" s="415" t="s">
        <v>83</v>
      </c>
      <c r="C32" s="121"/>
      <c r="D32" s="52" t="str">
        <f>IF(C32="〇","Ⅶ-","")</f>
        <v/>
      </c>
      <c r="E32" s="8"/>
      <c r="F32" s="104"/>
      <c r="G32" s="417" t="str">
        <f>IF(F32="","",IF(F32=1,"太陽光発電",IF(F32=2,"吹き抜け",IF(F32=3,"ロフト",IF(F32=4,"太陽熱温水器",IF(F32=5,"軒天",IF(F32=6,"屋外の梁組")))))))</f>
        <v/>
      </c>
      <c r="H32" s="417"/>
      <c r="I32" s="417"/>
      <c r="J32" s="417"/>
      <c r="K32" s="53" t="str">
        <f>IF(C32="〇",")","")</f>
        <v/>
      </c>
      <c r="L32" s="53"/>
      <c r="M32" s="53"/>
      <c r="N32" s="8"/>
      <c r="O32" s="8"/>
      <c r="P32" s="8"/>
      <c r="Q32" s="8"/>
      <c r="R32" s="8"/>
      <c r="S32" s="58"/>
      <c r="T32" s="58"/>
      <c r="U32" s="58"/>
      <c r="V32" s="58"/>
      <c r="W32" s="58"/>
      <c r="X32" s="58"/>
      <c r="Y32" s="421" t="str">
        <f>IF(F32="","",IF(F32=1,0.25,IF(F32=2,0.27,IF(F32=3,0.62,IF(F32=4,1,IF(F32=5,0.11,IF(F32=6,0.27)))))))</f>
        <v/>
      </c>
      <c r="Z32" s="421"/>
      <c r="AA32" s="120" t="str">
        <f>IF(C32="〇","＝","")</f>
        <v/>
      </c>
      <c r="AB32" s="56" t="str">
        <f>IF(F32="","",Y32)</f>
        <v/>
      </c>
      <c r="AC32" s="51" t="str">
        <f t="shared" ref="AC32:AC37" si="3">IF(C32="〇","kN/㎡","")</f>
        <v/>
      </c>
    </row>
    <row r="33" spans="1:39" ht="26.45" customHeight="1">
      <c r="B33" s="416"/>
      <c r="C33" s="121"/>
      <c r="D33" s="52" t="str">
        <f t="shared" ref="D33:D34" si="4">IF(C33="〇","Ⅶ-","")</f>
        <v/>
      </c>
      <c r="E33" s="8"/>
      <c r="F33" s="104"/>
      <c r="G33" s="417" t="str">
        <f>IF(F33="","",IF(F33=1,"太陽光発電",IF(F33=2,"吹き抜け",IF(F33=3,"ロフト",IF(F33=4,"太陽熱温水器",IF(F33=5,"軒天",IF(F33=6,"屋外の梁組")))))))</f>
        <v/>
      </c>
      <c r="H33" s="417"/>
      <c r="I33" s="417"/>
      <c r="J33" s="417"/>
      <c r="K33" s="53" t="str">
        <f t="shared" ref="K33:K34" si="5">IF(C33="〇",")","")</f>
        <v/>
      </c>
      <c r="L33" s="53"/>
      <c r="M33" s="53"/>
      <c r="N33" s="8"/>
      <c r="O33" s="8"/>
      <c r="P33" s="8"/>
      <c r="Q33" s="8"/>
      <c r="R33" s="8"/>
      <c r="S33" s="58"/>
      <c r="T33" s="58"/>
      <c r="U33" s="58"/>
      <c r="V33" s="58"/>
      <c r="W33" s="58"/>
      <c r="X33" s="58"/>
      <c r="Y33" s="421" t="str">
        <f t="shared" ref="Y33:Y37" si="6">IF(F33="","",IF(F33=1,0.25,IF(F33=2,0.27,IF(F33=3,0.62,IF(F33=4,1,IF(F33=5,0.11,IF(F33=6,0.27)))))))</f>
        <v/>
      </c>
      <c r="Z33" s="421"/>
      <c r="AA33" s="120" t="str">
        <f t="shared" ref="AA33:AA34" si="7">IF(C33="〇","＝","")</f>
        <v/>
      </c>
      <c r="AB33" s="116" t="str">
        <f t="shared" ref="AB33:AB34" si="8">IF(F33="","",Y33)</f>
        <v/>
      </c>
      <c r="AC33" s="51" t="str">
        <f t="shared" si="3"/>
        <v/>
      </c>
    </row>
    <row r="34" spans="1:39" ht="26.45" customHeight="1">
      <c r="B34" s="430"/>
      <c r="C34" s="121"/>
      <c r="D34" s="52" t="str">
        <f t="shared" si="4"/>
        <v/>
      </c>
      <c r="E34" s="8"/>
      <c r="F34" s="104"/>
      <c r="G34" s="417" t="str">
        <f>IF(F34="","",IF(F34=1,"太陽光発電",IF(F34=2,"吹き抜け",IF(F34=3,"ロフト",IF(F34=4,"太陽熱温水器",IF(F34=5,"軒天",IF(F34=6,"屋外の梁組")))))))</f>
        <v/>
      </c>
      <c r="H34" s="417"/>
      <c r="I34" s="417"/>
      <c r="J34" s="417"/>
      <c r="K34" s="53" t="str">
        <f t="shared" si="5"/>
        <v/>
      </c>
      <c r="L34" s="54"/>
      <c r="M34" s="54"/>
      <c r="N34" s="8"/>
      <c r="O34" s="8"/>
      <c r="P34" s="8"/>
      <c r="Q34" s="8"/>
      <c r="R34" s="8"/>
      <c r="S34" s="57"/>
      <c r="T34" s="57"/>
      <c r="U34" s="57"/>
      <c r="V34" s="57"/>
      <c r="W34" s="57"/>
      <c r="X34" s="57"/>
      <c r="Y34" s="421" t="str">
        <f t="shared" si="6"/>
        <v/>
      </c>
      <c r="Z34" s="421"/>
      <c r="AA34" s="120" t="str">
        <f t="shared" si="7"/>
        <v/>
      </c>
      <c r="AB34" s="116" t="str">
        <f t="shared" si="8"/>
        <v/>
      </c>
      <c r="AC34" s="51" t="str">
        <f t="shared" si="3"/>
        <v/>
      </c>
    </row>
    <row r="35" spans="1:39" ht="26.45" customHeight="1">
      <c r="B35" s="415" t="s">
        <v>84</v>
      </c>
      <c r="C35" s="121"/>
      <c r="D35" s="52" t="str">
        <f>IF(C35="〇","Ⅶ-","")</f>
        <v/>
      </c>
      <c r="E35" s="8"/>
      <c r="F35" s="104"/>
      <c r="G35" s="417" t="str">
        <f t="shared" ref="G35:G37" si="9">IF(F35="","",IF(F35=1,"太陽光発電",IF(F35=2,"吹き抜け",IF(F35=3,"ロフト",IF(F35=4,"太陽熱温水器",IF(F35=5,"軒天",IF(F35=6,"屋外の梁組")))))))</f>
        <v/>
      </c>
      <c r="H35" s="417"/>
      <c r="I35" s="417"/>
      <c r="J35" s="417"/>
      <c r="K35" s="53" t="str">
        <f>IF(C35="〇",")","")</f>
        <v/>
      </c>
      <c r="L35" s="53"/>
      <c r="M35" s="53"/>
      <c r="N35" s="53"/>
      <c r="O35" s="53"/>
      <c r="P35" s="53"/>
      <c r="Q35" s="53"/>
      <c r="R35" s="53"/>
      <c r="S35" s="58"/>
      <c r="T35" s="58"/>
      <c r="U35" s="58"/>
      <c r="V35" s="58"/>
      <c r="W35" s="58"/>
      <c r="X35" s="58"/>
      <c r="Y35" s="421" t="str">
        <f>IF(F35="","",IF(F35=1,0.25,IF(F35=2,0.27,IF(F35=3,0.62,IF(F35=4,1,IF(F35=5,0.11,IF(F35=6,0.27)))))))</f>
        <v/>
      </c>
      <c r="Z35" s="421"/>
      <c r="AA35" s="120" t="str">
        <f t="shared" si="2"/>
        <v/>
      </c>
      <c r="AB35" s="56" t="str">
        <f>IF(F35="","",Y35)</f>
        <v/>
      </c>
      <c r="AC35" s="51" t="str">
        <f t="shared" si="3"/>
        <v/>
      </c>
    </row>
    <row r="36" spans="1:39" ht="26.45" customHeight="1">
      <c r="B36" s="416"/>
      <c r="C36" s="121"/>
      <c r="D36" s="52" t="str">
        <f t="shared" ref="D36:D37" si="10">IF(C36="〇","Ⅶ-","")</f>
        <v/>
      </c>
      <c r="E36" s="8"/>
      <c r="F36" s="104"/>
      <c r="G36" s="417" t="str">
        <f t="shared" si="9"/>
        <v/>
      </c>
      <c r="H36" s="417"/>
      <c r="I36" s="417"/>
      <c r="J36" s="417"/>
      <c r="K36" s="53" t="str">
        <f t="shared" ref="K36:K37" si="11">IF(C36="〇",")","")</f>
        <v/>
      </c>
      <c r="L36" s="53"/>
      <c r="M36" s="53"/>
      <c r="N36" s="53"/>
      <c r="O36" s="53"/>
      <c r="P36" s="53"/>
      <c r="Q36" s="53"/>
      <c r="R36" s="53"/>
      <c r="S36" s="58"/>
      <c r="T36" s="58"/>
      <c r="U36" s="58"/>
      <c r="V36" s="58"/>
      <c r="W36" s="58"/>
      <c r="X36" s="58"/>
      <c r="Y36" s="421" t="str">
        <f t="shared" si="6"/>
        <v/>
      </c>
      <c r="Z36" s="421"/>
      <c r="AA36" s="120" t="str">
        <f t="shared" si="2"/>
        <v/>
      </c>
      <c r="AB36" s="116" t="str">
        <f t="shared" ref="AB36:AB37" si="12">IF(F36="","",Y36)</f>
        <v/>
      </c>
      <c r="AC36" s="51" t="str">
        <f t="shared" si="3"/>
        <v/>
      </c>
      <c r="AM36" s="220"/>
    </row>
    <row r="37" spans="1:39" ht="26.45" customHeight="1">
      <c r="B37" s="416"/>
      <c r="C37" s="121"/>
      <c r="D37" s="52" t="str">
        <f t="shared" si="10"/>
        <v/>
      </c>
      <c r="E37" s="54"/>
      <c r="F37" s="104"/>
      <c r="G37" s="417" t="str">
        <f t="shared" si="9"/>
        <v/>
      </c>
      <c r="H37" s="417"/>
      <c r="I37" s="417"/>
      <c r="J37" s="417"/>
      <c r="K37" s="53" t="str">
        <f t="shared" si="11"/>
        <v/>
      </c>
      <c r="L37" s="54"/>
      <c r="M37" s="54"/>
      <c r="N37" s="54"/>
      <c r="O37" s="54"/>
      <c r="P37" s="54"/>
      <c r="Q37" s="54"/>
      <c r="R37" s="54"/>
      <c r="S37" s="57"/>
      <c r="T37" s="57"/>
      <c r="U37" s="57"/>
      <c r="V37" s="57"/>
      <c r="W37" s="57"/>
      <c r="X37" s="57"/>
      <c r="Y37" s="421" t="str">
        <f t="shared" si="6"/>
        <v/>
      </c>
      <c r="Z37" s="421"/>
      <c r="AA37" s="120" t="str">
        <f t="shared" si="2"/>
        <v/>
      </c>
      <c r="AB37" s="116" t="str">
        <f t="shared" si="12"/>
        <v/>
      </c>
      <c r="AC37" s="51" t="str">
        <f t="shared" si="3"/>
        <v/>
      </c>
    </row>
    <row r="38" spans="1:39" ht="26.45" customHeight="1">
      <c r="B38" s="415" t="s">
        <v>64</v>
      </c>
      <c r="C38" s="394"/>
      <c r="D38" s="77" t="str">
        <f>IF(C38="〇","1階床（Ⅷ-　","")</f>
        <v/>
      </c>
      <c r="E38" s="78"/>
      <c r="F38" s="78"/>
      <c r="G38" s="107"/>
      <c r="H38" s="78" t="str">
        <f>IF(C38="〇","） + 1階内壁（Ⅵ-","")</f>
        <v/>
      </c>
      <c r="J38" s="78"/>
      <c r="K38" s="78"/>
      <c r="M38" s="108"/>
      <c r="N38" s="107"/>
      <c r="O38" s="109" t="str">
        <f>IF(C38="〇","） + Ⅸ-1 1階積載荷重","")</f>
        <v/>
      </c>
      <c r="P38" s="78"/>
      <c r="Q38" s="78"/>
      <c r="R38" s="78"/>
      <c r="S38" s="78"/>
      <c r="T38" s="79"/>
      <c r="U38" s="79"/>
      <c r="V38" s="79"/>
      <c r="X38" s="79"/>
      <c r="Z38" s="79"/>
      <c r="AA38" s="79"/>
      <c r="AB38" s="79"/>
      <c r="AC38" s="80"/>
    </row>
    <row r="39" spans="1:39" ht="26.45" customHeight="1">
      <c r="B39" s="416"/>
      <c r="C39" s="395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393" t="str">
        <f>IF(G38="","",IF(G38=1,0.31,IF(G38=2,0.33,IF(G38=3,0.49))))</f>
        <v/>
      </c>
      <c r="T39" s="393"/>
      <c r="U39" s="72" t="str">
        <f>IF(N38="","","+")</f>
        <v/>
      </c>
      <c r="V39" s="393" t="str">
        <f>IF(N38="","",IF(M38="",0,IF(M38="1-",IF(N38=1,0.13,IF(N38=2,0.19,IF(N38=3,0.24,IF(N38=4,0.35,IF(N38=5,0.38,IF(N38=6,0.4)))))),IF(N38=1,0.23,IF(N38=2,0.33,IF(N38=3,0.42,IF(N38=4,0.62,IF(N38=5,0.66,IF(S24=1,0.42,0.71)))))))))</f>
        <v/>
      </c>
      <c r="W39" s="393"/>
      <c r="X39" s="72" t="str">
        <f>IF(G38="","","+")</f>
        <v/>
      </c>
      <c r="Y39" s="393" t="str">
        <f>IF(G38="","",0.6)</f>
        <v/>
      </c>
      <c r="Z39" s="393"/>
      <c r="AA39" s="73" t="str">
        <f>IF(C38="〇","＝","")</f>
        <v/>
      </c>
      <c r="AB39" s="72" t="str">
        <f>IF(G38="","",IF(N38="",S39+Y39,Y39+V39+S39))</f>
        <v/>
      </c>
      <c r="AC39" s="74" t="str">
        <f>IF(C38="〇","kN/㎡","")</f>
        <v/>
      </c>
    </row>
    <row r="40" spans="1:39" ht="26.45" customHeight="1">
      <c r="B40" s="416"/>
      <c r="C40" s="394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6"/>
      <c r="T40" s="146"/>
      <c r="U40" s="146"/>
      <c r="V40" s="146"/>
      <c r="W40" s="146"/>
      <c r="X40" s="146"/>
      <c r="Y40" s="146"/>
      <c r="Z40" s="146"/>
      <c r="AA40" s="137"/>
      <c r="AB40" s="136"/>
      <c r="AC40" s="76"/>
    </row>
    <row r="41" spans="1:39" ht="26.45" customHeight="1">
      <c r="B41" s="430"/>
      <c r="C41" s="395"/>
      <c r="D41" s="147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9"/>
      <c r="T41" s="149"/>
      <c r="U41" s="149"/>
      <c r="V41" s="149"/>
      <c r="W41" s="149"/>
      <c r="X41" s="149"/>
      <c r="Y41" s="149"/>
      <c r="Z41" s="149"/>
      <c r="AA41" s="140" t="str">
        <f>IF(C40="〇","＝","")</f>
        <v/>
      </c>
      <c r="AB41" s="150"/>
      <c r="AC41" s="74" t="str">
        <f>IF(C40="〇","kN/㎡","")</f>
        <v/>
      </c>
    </row>
    <row r="42" spans="1:39" ht="26.45" customHeight="1">
      <c r="B42" s="415" t="s">
        <v>199</v>
      </c>
      <c r="C42" s="394"/>
      <c r="D42" s="77" t="str">
        <f>IF(C42="〇","1階床（Ⅷ-　","")</f>
        <v/>
      </c>
      <c r="E42" s="78"/>
      <c r="F42" s="78"/>
      <c r="G42" s="107"/>
      <c r="H42" s="78" t="str">
        <f>IF(C42="〇","） + 1階内壁（Ⅵ-","")</f>
        <v/>
      </c>
      <c r="J42" s="78"/>
      <c r="K42" s="78"/>
      <c r="M42" s="108"/>
      <c r="N42" s="107"/>
      <c r="O42" s="109" t="str">
        <f>IF(C42="〇","） + Ⅸ-2 1階積載荷重","")</f>
        <v/>
      </c>
      <c r="P42" s="78"/>
      <c r="Q42" s="78"/>
      <c r="R42" s="78"/>
      <c r="S42" s="78"/>
      <c r="T42" s="79"/>
      <c r="U42" s="79"/>
      <c r="X42" s="79"/>
      <c r="Y42" s="79"/>
      <c r="Z42" s="79"/>
      <c r="AA42" s="79"/>
      <c r="AB42" s="79"/>
      <c r="AC42" s="80"/>
    </row>
    <row r="43" spans="1:39" ht="26.45" customHeight="1">
      <c r="B43" s="416"/>
      <c r="C43" s="395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393" t="str">
        <f>IF(G42="","",IF(G42=1,0.31,IF(G42=2,0.33,IF(G42=3,0.49))))</f>
        <v/>
      </c>
      <c r="T43" s="393"/>
      <c r="U43" s="72" t="str">
        <f>IF(N42="","","+")</f>
        <v/>
      </c>
      <c r="V43" s="393" t="str">
        <f>IF(N42="","",IF(M42="",0,IF(M42="1-",IF(N42=1,0.13,IF(N42=2,0.19,IF(N42=3,0.24,IF(N42=4,0.35,IF(N42=5,0.38,IF(N42=6,0.4)))))),IF(N42=1,0.23,IF(N42=2,0.33,IF(N42=3,0.42,IF(N42=4,0.62,IF(N42=5,0.66,IF(S28=1,0.42,0.71)))))))))</f>
        <v/>
      </c>
      <c r="W43" s="393"/>
      <c r="X43" s="72" t="str">
        <f>IF(G42="","","+")</f>
        <v/>
      </c>
      <c r="Y43" s="393" t="str">
        <f>IF(G42="","",1.3)</f>
        <v/>
      </c>
      <c r="Z43" s="393"/>
      <c r="AA43" s="73" t="str">
        <f>IF(C42="〇","＝","")</f>
        <v/>
      </c>
      <c r="AB43" s="72" t="str">
        <f>IF(G42="","",IF(N42="",S43+Y43,Y43+V43+S43))</f>
        <v/>
      </c>
      <c r="AC43" s="74" t="str">
        <f>IF(C42="〇","kN/㎡","")</f>
        <v/>
      </c>
    </row>
    <row r="44" spans="1:39" ht="26.45" customHeight="1">
      <c r="B44" s="416"/>
      <c r="C44" s="394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6"/>
      <c r="U44" s="146"/>
      <c r="V44" s="146"/>
      <c r="W44" s="146"/>
      <c r="X44" s="146"/>
      <c r="Y44" s="146"/>
      <c r="Z44" s="146"/>
      <c r="AA44" s="137"/>
      <c r="AB44" s="136"/>
      <c r="AC44" s="76"/>
    </row>
    <row r="45" spans="1:39" ht="26.45" customHeight="1">
      <c r="B45" s="430"/>
      <c r="C45" s="395"/>
      <c r="D45" s="147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9"/>
      <c r="T45" s="149"/>
      <c r="U45" s="149"/>
      <c r="V45" s="149"/>
      <c r="W45" s="149"/>
      <c r="X45" s="149"/>
      <c r="Y45" s="149"/>
      <c r="Z45" s="149"/>
      <c r="AA45" s="140" t="str">
        <f>IF(C44="〇","＝","")</f>
        <v/>
      </c>
      <c r="AB45" s="150"/>
      <c r="AC45" s="74" t="str">
        <f>IF(C44="〇","kN/㎡","")</f>
        <v/>
      </c>
    </row>
    <row r="47" spans="1:39" ht="26.45" customHeight="1">
      <c r="A47" s="151"/>
      <c r="B47" s="413" t="s">
        <v>344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152"/>
      <c r="O47" s="153"/>
      <c r="P47" s="152"/>
    </row>
    <row r="48" spans="1:39" ht="26.45" customHeight="1">
      <c r="A48" s="151"/>
      <c r="B48" s="414" t="s">
        <v>332</v>
      </c>
      <c r="C48" s="414"/>
      <c r="D48" s="390" t="s">
        <v>333</v>
      </c>
      <c r="E48" s="391"/>
      <c r="F48" s="391"/>
      <c r="G48" s="391"/>
      <c r="H48" s="391"/>
      <c r="I48" s="391"/>
      <c r="J48" s="391"/>
      <c r="K48" s="391"/>
      <c r="L48" s="391"/>
      <c r="M48" s="391"/>
      <c r="N48" s="392"/>
      <c r="O48" s="390" t="s">
        <v>297</v>
      </c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2"/>
    </row>
    <row r="49" spans="1:29" ht="26.45" customHeight="1">
      <c r="B49" s="414" t="s">
        <v>74</v>
      </c>
      <c r="C49" s="414"/>
      <c r="D49" s="387" t="s">
        <v>342</v>
      </c>
      <c r="E49" s="388"/>
      <c r="F49" s="388"/>
      <c r="G49" s="388"/>
      <c r="H49" s="388"/>
      <c r="I49" s="388"/>
      <c r="J49" s="388"/>
      <c r="K49" s="388"/>
      <c r="L49" s="388"/>
      <c r="M49" s="388"/>
      <c r="N49" s="389"/>
      <c r="O49" s="387" t="s">
        <v>76</v>
      </c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9"/>
    </row>
    <row r="50" spans="1:29" ht="26.45" customHeight="1">
      <c r="B50" s="414" t="s">
        <v>75</v>
      </c>
      <c r="C50" s="414"/>
      <c r="D50" s="387" t="s">
        <v>343</v>
      </c>
      <c r="E50" s="388"/>
      <c r="F50" s="388"/>
      <c r="G50" s="388"/>
      <c r="H50" s="388"/>
      <c r="I50" s="388"/>
      <c r="J50" s="388"/>
      <c r="K50" s="388"/>
      <c r="L50" s="388"/>
      <c r="M50" s="388"/>
      <c r="N50" s="389"/>
      <c r="O50" s="387" t="s">
        <v>76</v>
      </c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388"/>
      <c r="AC50" s="389"/>
    </row>
    <row r="51" spans="1:29" ht="26.45" customHeight="1">
      <c r="B51" s="414" t="s">
        <v>77</v>
      </c>
      <c r="C51" s="414"/>
      <c r="D51" s="387" t="s">
        <v>339</v>
      </c>
      <c r="E51" s="388"/>
      <c r="F51" s="388"/>
      <c r="G51" s="388"/>
      <c r="H51" s="388"/>
      <c r="I51" s="388"/>
      <c r="J51" s="388"/>
      <c r="K51" s="388"/>
      <c r="L51" s="388"/>
      <c r="M51" s="388"/>
      <c r="N51" s="389"/>
      <c r="O51" s="387" t="s">
        <v>72</v>
      </c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88"/>
      <c r="AC51" s="389"/>
    </row>
    <row r="52" spans="1:29" ht="26.45" customHeight="1">
      <c r="B52" s="414" t="s">
        <v>78</v>
      </c>
      <c r="C52" s="414"/>
      <c r="D52" s="387" t="s">
        <v>340</v>
      </c>
      <c r="E52" s="388"/>
      <c r="F52" s="388"/>
      <c r="G52" s="388"/>
      <c r="H52" s="388"/>
      <c r="I52" s="388"/>
      <c r="J52" s="388"/>
      <c r="K52" s="388"/>
      <c r="L52" s="388"/>
      <c r="M52" s="388"/>
      <c r="N52" s="389"/>
      <c r="O52" s="387" t="s">
        <v>73</v>
      </c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9"/>
    </row>
    <row r="53" spans="1:29" ht="26.45" customHeight="1">
      <c r="B53" s="414" t="s">
        <v>79</v>
      </c>
      <c r="C53" s="414"/>
      <c r="D53" s="387" t="s">
        <v>334</v>
      </c>
      <c r="E53" s="388"/>
      <c r="F53" s="388"/>
      <c r="G53" s="388"/>
      <c r="H53" s="388"/>
      <c r="I53" s="388"/>
      <c r="J53" s="388"/>
      <c r="K53" s="388"/>
      <c r="L53" s="388"/>
      <c r="M53" s="388"/>
      <c r="N53" s="389"/>
      <c r="O53" s="387" t="s">
        <v>27</v>
      </c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9"/>
    </row>
    <row r="54" spans="1:29" ht="26.45" customHeight="1">
      <c r="B54" s="414" t="s">
        <v>80</v>
      </c>
      <c r="C54" s="414"/>
      <c r="D54" s="387" t="s">
        <v>335</v>
      </c>
      <c r="E54" s="388"/>
      <c r="F54" s="388"/>
      <c r="G54" s="388"/>
      <c r="H54" s="388"/>
      <c r="I54" s="388"/>
      <c r="J54" s="388"/>
      <c r="K54" s="388"/>
      <c r="L54" s="388"/>
      <c r="M54" s="388"/>
      <c r="N54" s="389"/>
      <c r="O54" s="387" t="s">
        <v>27</v>
      </c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9"/>
    </row>
    <row r="55" spans="1:29" ht="26.45" customHeight="1">
      <c r="B55" s="414" t="s">
        <v>81</v>
      </c>
      <c r="C55" s="414"/>
      <c r="D55" s="387" t="s">
        <v>338</v>
      </c>
      <c r="E55" s="388"/>
      <c r="F55" s="388"/>
      <c r="G55" s="388"/>
      <c r="H55" s="388"/>
      <c r="I55" s="388"/>
      <c r="J55" s="388"/>
      <c r="K55" s="388"/>
      <c r="L55" s="388"/>
      <c r="M55" s="388"/>
      <c r="N55" s="389"/>
      <c r="O55" s="387" t="s">
        <v>513</v>
      </c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8"/>
      <c r="AB55" s="388"/>
      <c r="AC55" s="389"/>
    </row>
    <row r="56" spans="1:29" ht="26.45" customHeight="1">
      <c r="B56" s="414" t="s">
        <v>82</v>
      </c>
      <c r="C56" s="414"/>
      <c r="D56" s="387" t="s">
        <v>341</v>
      </c>
      <c r="E56" s="388"/>
      <c r="F56" s="388"/>
      <c r="G56" s="388"/>
      <c r="H56" s="388"/>
      <c r="I56" s="388"/>
      <c r="J56" s="388"/>
      <c r="K56" s="388"/>
      <c r="L56" s="388"/>
      <c r="M56" s="388"/>
      <c r="N56" s="389"/>
      <c r="O56" s="387" t="s">
        <v>88</v>
      </c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9"/>
    </row>
    <row r="57" spans="1:29" ht="26.45" customHeight="1">
      <c r="B57" s="363" t="s">
        <v>46</v>
      </c>
      <c r="C57" s="363"/>
      <c r="D57" s="387" t="s">
        <v>336</v>
      </c>
      <c r="E57" s="388"/>
      <c r="F57" s="388"/>
      <c r="G57" s="388"/>
      <c r="H57" s="388"/>
      <c r="I57" s="388"/>
      <c r="J57" s="388"/>
      <c r="K57" s="388"/>
      <c r="L57" s="388"/>
      <c r="M57" s="388"/>
      <c r="N57" s="389"/>
      <c r="O57" s="387" t="s">
        <v>350</v>
      </c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9"/>
    </row>
    <row r="58" spans="1:29" ht="26.45" customHeight="1">
      <c r="B58" s="414" t="s">
        <v>47</v>
      </c>
      <c r="C58" s="414"/>
      <c r="D58" s="387" t="s">
        <v>337</v>
      </c>
      <c r="E58" s="388"/>
      <c r="F58" s="388"/>
      <c r="G58" s="388"/>
      <c r="H58" s="388"/>
      <c r="I58" s="388"/>
      <c r="J58" s="388"/>
      <c r="K58" s="388"/>
      <c r="L58" s="388"/>
      <c r="M58" s="388"/>
      <c r="N58" s="389"/>
      <c r="O58" s="387" t="s">
        <v>351</v>
      </c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9"/>
    </row>
    <row r="59" spans="1:29" ht="26.45" customHeight="1">
      <c r="A59" s="18"/>
      <c r="B59" s="414" t="s">
        <v>84</v>
      </c>
      <c r="C59" s="414"/>
      <c r="D59" s="387" t="s">
        <v>510</v>
      </c>
      <c r="E59" s="388"/>
      <c r="F59" s="388"/>
      <c r="G59" s="388"/>
      <c r="H59" s="388"/>
      <c r="I59" s="388"/>
      <c r="J59" s="388"/>
      <c r="K59" s="388"/>
      <c r="L59" s="388"/>
      <c r="M59" s="388"/>
      <c r="N59" s="389"/>
      <c r="O59" s="387" t="s">
        <v>89</v>
      </c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9"/>
    </row>
    <row r="60" spans="1:29" ht="26.45" customHeight="1">
      <c r="A60" s="18"/>
      <c r="B60" s="414" t="s">
        <v>83</v>
      </c>
      <c r="C60" s="414"/>
      <c r="D60" s="387" t="s">
        <v>511</v>
      </c>
      <c r="E60" s="388"/>
      <c r="F60" s="388"/>
      <c r="G60" s="388"/>
      <c r="H60" s="388"/>
      <c r="I60" s="388"/>
      <c r="J60" s="388"/>
      <c r="K60" s="388"/>
      <c r="L60" s="388"/>
      <c r="M60" s="388"/>
      <c r="N60" s="389"/>
      <c r="O60" s="387" t="s">
        <v>89</v>
      </c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9"/>
    </row>
    <row r="61" spans="1:29" ht="26.4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9" ht="26.45" customHeight="1">
      <c r="A62" s="18"/>
      <c r="B62" s="215" t="s">
        <v>303</v>
      </c>
      <c r="C62" s="196"/>
      <c r="D62" s="18"/>
      <c r="E62" s="18"/>
      <c r="F62" s="437" t="s">
        <v>497</v>
      </c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  <c r="AC62" s="437"/>
    </row>
    <row r="63" spans="1:29" ht="26.45" customHeight="1">
      <c r="A63" s="18"/>
      <c r="B63" s="197"/>
      <c r="C63" s="198"/>
      <c r="D63" s="199"/>
      <c r="E63" s="199"/>
      <c r="F63" s="200" t="s">
        <v>56</v>
      </c>
      <c r="G63" s="399" t="s">
        <v>57</v>
      </c>
      <c r="H63" s="399"/>
      <c r="I63" s="399"/>
      <c r="J63" s="399"/>
      <c r="K63" s="399"/>
      <c r="L63" s="399"/>
      <c r="M63" s="399"/>
      <c r="N63" s="399"/>
      <c r="O63" s="399" t="s">
        <v>58</v>
      </c>
      <c r="P63" s="399"/>
      <c r="Q63" s="399"/>
      <c r="R63" s="399"/>
      <c r="S63" s="399"/>
      <c r="T63" s="399"/>
      <c r="U63" s="399"/>
      <c r="V63" s="399"/>
      <c r="W63" s="399" t="s">
        <v>59</v>
      </c>
      <c r="X63" s="399"/>
      <c r="Y63" s="399"/>
      <c r="Z63" s="399"/>
      <c r="AA63" s="399"/>
      <c r="AB63" s="399"/>
      <c r="AC63" s="399"/>
    </row>
    <row r="64" spans="1:29" ht="26.45" customHeight="1">
      <c r="A64" s="18"/>
      <c r="B64" s="201"/>
      <c r="C64" s="196"/>
      <c r="D64" s="196"/>
      <c r="E64" s="196"/>
      <c r="F64" s="202"/>
      <c r="G64" s="400" t="s">
        <v>61</v>
      </c>
      <c r="H64" s="400"/>
      <c r="I64" s="400"/>
      <c r="J64" s="400"/>
      <c r="K64" s="400"/>
      <c r="L64" s="400"/>
      <c r="M64" s="400"/>
      <c r="N64" s="400"/>
      <c r="O64" s="400" t="s">
        <v>62</v>
      </c>
      <c r="P64" s="400"/>
      <c r="Q64" s="400"/>
      <c r="R64" s="400"/>
      <c r="S64" s="400"/>
      <c r="T64" s="400"/>
      <c r="U64" s="400"/>
      <c r="V64" s="400"/>
      <c r="W64" s="400" t="s">
        <v>63</v>
      </c>
      <c r="X64" s="400"/>
      <c r="Y64" s="400"/>
      <c r="Z64" s="400"/>
      <c r="AA64" s="400"/>
      <c r="AB64" s="400"/>
      <c r="AC64" s="400"/>
    </row>
    <row r="65" spans="1:29" ht="26.45" customHeight="1">
      <c r="A65" s="18"/>
      <c r="B65" s="201"/>
      <c r="C65" s="196"/>
      <c r="D65" s="196"/>
      <c r="E65" s="196"/>
      <c r="F65" s="202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0"/>
      <c r="Z65" s="400"/>
      <c r="AA65" s="400"/>
      <c r="AB65" s="400"/>
      <c r="AC65" s="400"/>
    </row>
    <row r="66" spans="1:29" ht="26.45" customHeight="1">
      <c r="A66" s="18"/>
      <c r="B66" s="203" t="s">
        <v>55</v>
      </c>
      <c r="C66" s="204"/>
      <c r="D66" s="204"/>
      <c r="E66" s="204"/>
      <c r="F66" s="205"/>
      <c r="G66" s="399" t="s">
        <v>60</v>
      </c>
      <c r="H66" s="399"/>
      <c r="I66" s="399"/>
      <c r="J66" s="399"/>
      <c r="K66" s="399"/>
      <c r="L66" s="399"/>
      <c r="M66" s="399"/>
      <c r="N66" s="399"/>
      <c r="O66" s="399" t="s">
        <v>60</v>
      </c>
      <c r="P66" s="399"/>
      <c r="Q66" s="399"/>
      <c r="R66" s="399"/>
      <c r="S66" s="399"/>
      <c r="T66" s="399"/>
      <c r="U66" s="399"/>
      <c r="V66" s="399"/>
      <c r="W66" s="399" t="s">
        <v>60</v>
      </c>
      <c r="X66" s="399"/>
      <c r="Y66" s="399"/>
      <c r="Z66" s="399"/>
      <c r="AA66" s="399"/>
      <c r="AB66" s="399"/>
      <c r="AC66" s="399"/>
    </row>
    <row r="67" spans="1:29" ht="26.45" customHeight="1">
      <c r="A67" s="18"/>
      <c r="B67" s="404" t="s">
        <v>53</v>
      </c>
      <c r="C67" s="405" t="s">
        <v>54</v>
      </c>
      <c r="D67" s="406"/>
      <c r="E67" s="406"/>
      <c r="F67" s="407"/>
      <c r="G67" s="399">
        <v>1800</v>
      </c>
      <c r="H67" s="399"/>
      <c r="I67" s="399"/>
      <c r="J67" s="399"/>
      <c r="K67" s="399"/>
      <c r="L67" s="399"/>
      <c r="M67" s="399"/>
      <c r="N67" s="399"/>
      <c r="O67" s="399">
        <v>1300</v>
      </c>
      <c r="P67" s="399"/>
      <c r="Q67" s="399"/>
      <c r="R67" s="399"/>
      <c r="S67" s="399"/>
      <c r="T67" s="399"/>
      <c r="U67" s="399"/>
      <c r="V67" s="399"/>
      <c r="W67" s="399">
        <v>600</v>
      </c>
      <c r="X67" s="399"/>
      <c r="Y67" s="399"/>
      <c r="Z67" s="399"/>
      <c r="AA67" s="399"/>
      <c r="AB67" s="399"/>
      <c r="AC67" s="399"/>
    </row>
    <row r="68" spans="1:29" ht="26.45" customHeight="1">
      <c r="A68" s="18"/>
      <c r="B68" s="404"/>
      <c r="C68" s="408"/>
      <c r="D68" s="401"/>
      <c r="E68" s="401"/>
      <c r="F68" s="40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</row>
    <row r="69" spans="1:29" ht="26.45" customHeight="1">
      <c r="A69" s="18"/>
      <c r="B69" s="404"/>
      <c r="C69" s="410"/>
      <c r="D69" s="411"/>
      <c r="E69" s="411"/>
      <c r="F69" s="412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</row>
    <row r="70" spans="1:29" ht="26.45" customHeight="1">
      <c r="A70" s="18"/>
      <c r="B70" s="33"/>
      <c r="C70" s="33"/>
      <c r="D70" s="33"/>
      <c r="E70" s="33"/>
      <c r="F70" s="33"/>
      <c r="G70" s="33"/>
      <c r="H70" s="33"/>
      <c r="I70" s="33"/>
      <c r="J70" s="33"/>
      <c r="K70" s="45"/>
      <c r="L70" s="195"/>
      <c r="M70" s="33"/>
      <c r="N70" s="33"/>
      <c r="O70" s="33"/>
      <c r="P70" s="33"/>
      <c r="Q70" s="18"/>
      <c r="R70" s="18"/>
      <c r="S70" s="18"/>
      <c r="T70" s="18"/>
      <c r="U70" s="18"/>
      <c r="V70" s="18"/>
      <c r="W70" s="18"/>
      <c r="X70" s="18"/>
    </row>
    <row r="71" spans="1:29" ht="26.45" customHeight="1">
      <c r="A71" s="18"/>
      <c r="B71" s="402" t="s">
        <v>143</v>
      </c>
      <c r="C71" s="402"/>
      <c r="D71" s="402"/>
      <c r="E71" s="206"/>
      <c r="I71" s="206"/>
      <c r="J71" s="206"/>
      <c r="K71" s="206"/>
      <c r="L71" s="206"/>
      <c r="M71" s="206"/>
      <c r="N71" s="206"/>
      <c r="O71" s="206"/>
      <c r="P71" s="18"/>
      <c r="Q71" s="18"/>
      <c r="R71" s="18"/>
      <c r="S71" s="18"/>
      <c r="T71" s="18"/>
      <c r="U71" s="18"/>
      <c r="V71" s="18"/>
      <c r="W71" s="18"/>
      <c r="X71" s="44"/>
      <c r="Y71" s="16"/>
      <c r="Z71" s="16"/>
      <c r="AA71" s="16"/>
      <c r="AB71" s="16"/>
      <c r="AC71" s="16"/>
    </row>
    <row r="72" spans="1:29" ht="26.45" customHeight="1">
      <c r="A72" s="18"/>
      <c r="B72" s="398" t="s">
        <v>141</v>
      </c>
      <c r="C72" s="398"/>
      <c r="D72" s="403"/>
      <c r="E72" s="403"/>
      <c r="F72" s="207" t="s">
        <v>142</v>
      </c>
      <c r="J72" s="206"/>
      <c r="K72" s="206"/>
      <c r="L72" s="206"/>
      <c r="M72" s="206"/>
      <c r="T72" s="18"/>
      <c r="U72" s="18"/>
      <c r="Y72" s="16"/>
      <c r="Z72" s="16"/>
      <c r="AA72" s="16"/>
      <c r="AB72" s="16"/>
      <c r="AC72" s="16"/>
    </row>
    <row r="73" spans="1:29" ht="26.45" customHeight="1">
      <c r="A73" s="18"/>
      <c r="B73" s="208"/>
      <c r="C73" s="208"/>
      <c r="D73" s="206"/>
      <c r="E73" s="18"/>
      <c r="F73" s="18"/>
      <c r="G73" s="18"/>
      <c r="H73" s="33"/>
      <c r="I73" s="206"/>
      <c r="J73" s="206"/>
      <c r="K73" s="206"/>
      <c r="L73" s="206"/>
      <c r="M73" s="206"/>
      <c r="T73" s="18"/>
      <c r="U73" s="18"/>
      <c r="Y73" s="16"/>
      <c r="Z73" s="16"/>
      <c r="AA73" s="16"/>
      <c r="AB73" s="16"/>
      <c r="AC73" s="16"/>
    </row>
    <row r="74" spans="1:29" ht="26.45" customHeight="1">
      <c r="A74" s="18"/>
      <c r="B74" s="402" t="s">
        <v>144</v>
      </c>
      <c r="C74" s="402"/>
      <c r="D74" s="402"/>
      <c r="E74" s="402"/>
      <c r="F74" s="402"/>
      <c r="G74" s="402"/>
      <c r="H74" s="33"/>
      <c r="I74" s="33"/>
      <c r="J74" s="45"/>
      <c r="K74" s="206"/>
      <c r="L74" s="206"/>
      <c r="M74" s="206"/>
      <c r="T74" s="18"/>
      <c r="U74" s="18"/>
      <c r="Y74" s="16"/>
      <c r="Z74" s="16"/>
      <c r="AA74" s="16"/>
      <c r="AB74" s="16"/>
      <c r="AC74" s="16"/>
    </row>
    <row r="75" spans="1:29" ht="26.45" customHeight="1">
      <c r="A75" s="18"/>
      <c r="B75" s="397" t="s">
        <v>148</v>
      </c>
      <c r="C75" s="397"/>
      <c r="D75" s="403" t="s">
        <v>296</v>
      </c>
      <c r="E75" s="403"/>
      <c r="F75" s="207" t="s">
        <v>146</v>
      </c>
      <c r="H75" s="18"/>
      <c r="T75" s="18"/>
      <c r="U75" s="18"/>
      <c r="Y75" s="16"/>
      <c r="Z75" s="16"/>
      <c r="AA75" s="16"/>
      <c r="AB75" s="16"/>
      <c r="AC75" s="16"/>
    </row>
    <row r="76" spans="1:29" ht="26.45" customHeight="1">
      <c r="A76" s="18"/>
      <c r="B76" s="398" t="s">
        <v>145</v>
      </c>
      <c r="C76" s="398"/>
      <c r="D76" s="398"/>
      <c r="E76" s="398"/>
      <c r="F76" s="398"/>
      <c r="G76" s="403" t="s">
        <v>296</v>
      </c>
      <c r="H76" s="403"/>
      <c r="I76" s="213"/>
      <c r="J76" s="213"/>
      <c r="K76" s="213"/>
      <c r="L76" s="213"/>
      <c r="M76" s="213"/>
      <c r="T76" s="18"/>
      <c r="U76" s="18"/>
      <c r="Y76" s="16"/>
      <c r="Z76" s="16"/>
      <c r="AA76" s="16"/>
      <c r="AB76" s="16"/>
      <c r="AC76" s="16"/>
    </row>
    <row r="77" spans="1:29" ht="26.45" customHeight="1">
      <c r="A77" s="18"/>
      <c r="B77" s="208"/>
      <c r="C77" s="209"/>
      <c r="F77" s="211"/>
      <c r="G77" s="212"/>
      <c r="K77" s="213"/>
      <c r="L77" s="210"/>
      <c r="M77" s="210"/>
      <c r="T77" s="18"/>
      <c r="U77" s="18"/>
      <c r="Y77" s="16"/>
      <c r="Z77" s="16"/>
      <c r="AA77" s="16"/>
      <c r="AB77" s="16"/>
      <c r="AC77" s="16"/>
    </row>
    <row r="78" spans="1:29" ht="26.45" customHeight="1">
      <c r="A78" s="18"/>
      <c r="B78" s="402" t="s">
        <v>147</v>
      </c>
      <c r="C78" s="402"/>
      <c r="D78" s="402"/>
      <c r="E78" s="402"/>
      <c r="F78" s="402"/>
      <c r="G78" s="402"/>
      <c r="H78" s="402"/>
      <c r="I78" s="206"/>
      <c r="J78" s="206"/>
      <c r="K78" s="206"/>
      <c r="L78" s="206"/>
      <c r="M78" s="206"/>
      <c r="T78" s="18"/>
      <c r="U78" s="18"/>
      <c r="Y78" s="16"/>
      <c r="Z78" s="16"/>
      <c r="AA78" s="16"/>
      <c r="AB78" s="16"/>
      <c r="AC78" s="16"/>
    </row>
    <row r="79" spans="1:29" ht="26.45" customHeight="1">
      <c r="A79" s="18"/>
      <c r="B79" s="397" t="s">
        <v>149</v>
      </c>
      <c r="C79" s="397"/>
      <c r="D79" s="435"/>
      <c r="E79" s="435"/>
      <c r="F79" s="211"/>
      <c r="G79" s="211"/>
      <c r="H79" s="207"/>
      <c r="I79" s="206"/>
      <c r="J79" s="206"/>
      <c r="K79" s="206"/>
      <c r="L79" s="206"/>
      <c r="M79" s="206"/>
      <c r="N79" s="206"/>
      <c r="O79" s="206"/>
      <c r="P79" s="18"/>
      <c r="Q79" s="18"/>
      <c r="R79" s="18"/>
      <c r="S79" s="18"/>
      <c r="T79" s="18"/>
      <c r="U79" s="18"/>
      <c r="V79" s="18"/>
      <c r="W79" s="18"/>
      <c r="X79" s="44"/>
      <c r="Y79" s="16"/>
    </row>
    <row r="80" spans="1:29" ht="26.45" customHeight="1">
      <c r="A80" s="18"/>
      <c r="B80" s="402" t="s">
        <v>151</v>
      </c>
      <c r="C80" s="402"/>
      <c r="D80" s="206"/>
      <c r="E80" s="206"/>
      <c r="F80" s="206"/>
      <c r="G80" s="214"/>
      <c r="H80" s="206"/>
      <c r="I80" s="206"/>
      <c r="J80" s="206"/>
      <c r="K80" s="206"/>
      <c r="L80" s="206"/>
      <c r="M80" s="206"/>
      <c r="N80" s="206"/>
      <c r="O80" s="206"/>
      <c r="P80" s="18"/>
      <c r="Q80" s="18"/>
      <c r="R80" s="18"/>
      <c r="S80" s="18"/>
      <c r="T80" s="18"/>
      <c r="U80" s="18"/>
      <c r="V80" s="18"/>
      <c r="W80" s="18"/>
      <c r="X80" s="44"/>
      <c r="Y80" s="16"/>
    </row>
    <row r="81" spans="1:25" ht="26.45" customHeight="1">
      <c r="A81" s="18"/>
      <c r="B81" s="436" t="s">
        <v>152</v>
      </c>
      <c r="C81" s="436"/>
      <c r="D81" s="218" t="s">
        <v>492</v>
      </c>
      <c r="E81" s="403" t="s">
        <v>296</v>
      </c>
      <c r="F81" s="403"/>
      <c r="G81" s="434" t="s">
        <v>493</v>
      </c>
      <c r="H81" s="434"/>
      <c r="I81" s="434"/>
      <c r="J81" s="218"/>
      <c r="L81" s="206"/>
      <c r="M81" s="206"/>
      <c r="N81" s="206"/>
      <c r="O81" s="206"/>
      <c r="P81" s="18"/>
      <c r="Q81" s="18"/>
      <c r="R81" s="18"/>
      <c r="S81" s="18"/>
      <c r="T81" s="18"/>
      <c r="U81" s="18"/>
      <c r="V81" s="18"/>
      <c r="W81" s="18"/>
      <c r="X81" s="44"/>
      <c r="Y81" s="16"/>
    </row>
    <row r="82" spans="1:25" ht="26.45" customHeight="1">
      <c r="A82" s="18"/>
      <c r="B82" s="396" t="s">
        <v>150</v>
      </c>
      <c r="C82" s="396"/>
      <c r="D82" s="403"/>
      <c r="E82" s="403"/>
      <c r="F82" s="403"/>
      <c r="G82" s="403"/>
      <c r="H82" s="403"/>
      <c r="I82" s="401" t="s">
        <v>95</v>
      </c>
      <c r="J82" s="401"/>
      <c r="L82" s="206"/>
      <c r="M82" s="206"/>
      <c r="N82" s="206"/>
      <c r="O82" s="206"/>
      <c r="P82" s="18"/>
      <c r="Q82" s="18"/>
      <c r="R82" s="18"/>
      <c r="S82" s="18"/>
      <c r="T82" s="18"/>
      <c r="U82" s="18"/>
      <c r="V82" s="18"/>
      <c r="W82" s="18"/>
      <c r="X82" s="44"/>
      <c r="Y82" s="16"/>
    </row>
    <row r="83" spans="1:25" ht="26.45" customHeight="1">
      <c r="A83" s="18"/>
      <c r="B83" s="33"/>
      <c r="C83" s="33"/>
      <c r="D83" s="33"/>
      <c r="E83" s="33"/>
      <c r="F83" s="18"/>
      <c r="G83" s="18"/>
      <c r="H83" s="18"/>
      <c r="I83" s="18"/>
      <c r="J83" s="45"/>
      <c r="K83" s="195"/>
      <c r="L83" s="33"/>
      <c r="M83" s="33"/>
      <c r="N83" s="33"/>
      <c r="O83" s="33"/>
      <c r="P83" s="18"/>
      <c r="Q83" s="18"/>
      <c r="R83" s="18"/>
      <c r="S83" s="18"/>
      <c r="T83" s="18"/>
      <c r="U83" s="18"/>
      <c r="V83" s="18"/>
      <c r="W83" s="18"/>
      <c r="X83" s="44"/>
      <c r="Y83" s="16"/>
    </row>
    <row r="84" spans="1:25" ht="26.4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5" ht="26.45" customHeight="1">
      <c r="Y85" s="16"/>
    </row>
    <row r="86" spans="1:25" ht="26.45" customHeight="1">
      <c r="Y86" s="16"/>
    </row>
  </sheetData>
  <sheetProtection sheet="1" selectLockedCells="1"/>
  <dataConsolidate/>
  <mergeCells count="144">
    <mergeCell ref="B55:C55"/>
    <mergeCell ref="B56:C56"/>
    <mergeCell ref="B53:C53"/>
    <mergeCell ref="B54:C54"/>
    <mergeCell ref="D53:N53"/>
    <mergeCell ref="D54:N54"/>
    <mergeCell ref="D55:N55"/>
    <mergeCell ref="D56:N56"/>
    <mergeCell ref="G81:I81"/>
    <mergeCell ref="E81:F81"/>
    <mergeCell ref="B59:C59"/>
    <mergeCell ref="B60:C60"/>
    <mergeCell ref="B57:C57"/>
    <mergeCell ref="B58:C58"/>
    <mergeCell ref="G76:H76"/>
    <mergeCell ref="B79:C79"/>
    <mergeCell ref="D79:E79"/>
    <mergeCell ref="B80:C80"/>
    <mergeCell ref="B81:C81"/>
    <mergeCell ref="F62:AC62"/>
    <mergeCell ref="D75:E75"/>
    <mergeCell ref="D57:N57"/>
    <mergeCell ref="D58:N58"/>
    <mergeCell ref="D59:N59"/>
    <mergeCell ref="B4:B5"/>
    <mergeCell ref="B6:B7"/>
    <mergeCell ref="B12:B13"/>
    <mergeCell ref="B32:B34"/>
    <mergeCell ref="B16:B17"/>
    <mergeCell ref="C42:C43"/>
    <mergeCell ref="C44:C45"/>
    <mergeCell ref="C40:C41"/>
    <mergeCell ref="C38:C39"/>
    <mergeCell ref="B38:B41"/>
    <mergeCell ref="B42:B45"/>
    <mergeCell ref="B8:B9"/>
    <mergeCell ref="B10:B11"/>
    <mergeCell ref="B14:B15"/>
    <mergeCell ref="B18:B19"/>
    <mergeCell ref="B20:B23"/>
    <mergeCell ref="B24:B27"/>
    <mergeCell ref="B28:B29"/>
    <mergeCell ref="B30:B31"/>
    <mergeCell ref="C26:C27"/>
    <mergeCell ref="D3:AC3"/>
    <mergeCell ref="C20:C21"/>
    <mergeCell ref="C24:C25"/>
    <mergeCell ref="C22:C23"/>
    <mergeCell ref="Y21:Z21"/>
    <mergeCell ref="V21:W21"/>
    <mergeCell ref="S21:T21"/>
    <mergeCell ref="P21:Q21"/>
    <mergeCell ref="Y6:Z6"/>
    <mergeCell ref="Y4:Z4"/>
    <mergeCell ref="Y15:Z15"/>
    <mergeCell ref="V15:W15"/>
    <mergeCell ref="V19:W19"/>
    <mergeCell ref="Y12:Z12"/>
    <mergeCell ref="V10:W10"/>
    <mergeCell ref="Y10:Z10"/>
    <mergeCell ref="Y8:Z8"/>
    <mergeCell ref="V8:W8"/>
    <mergeCell ref="H4:N4"/>
    <mergeCell ref="H6:N6"/>
    <mergeCell ref="D18:AC18"/>
    <mergeCell ref="Y25:Z25"/>
    <mergeCell ref="P25:Q25"/>
    <mergeCell ref="S25:T25"/>
    <mergeCell ref="D14:AC14"/>
    <mergeCell ref="Y28:Z28"/>
    <mergeCell ref="Y19:Z19"/>
    <mergeCell ref="C14:C15"/>
    <mergeCell ref="Y16:Z16"/>
    <mergeCell ref="B71:D71"/>
    <mergeCell ref="D72:E72"/>
    <mergeCell ref="Y33:Z33"/>
    <mergeCell ref="Y34:Z34"/>
    <mergeCell ref="Y36:Z36"/>
    <mergeCell ref="Y37:Z37"/>
    <mergeCell ref="Y32:Z32"/>
    <mergeCell ref="S43:T43"/>
    <mergeCell ref="V43:W43"/>
    <mergeCell ref="Y43:Z43"/>
    <mergeCell ref="Y30:Z30"/>
    <mergeCell ref="S39:T39"/>
    <mergeCell ref="V39:W39"/>
    <mergeCell ref="Y39:Z39"/>
    <mergeCell ref="Y35:Z35"/>
    <mergeCell ref="B51:C51"/>
    <mergeCell ref="B52:C52"/>
    <mergeCell ref="B49:C49"/>
    <mergeCell ref="B50:C50"/>
    <mergeCell ref="B47:M47"/>
    <mergeCell ref="B48:C48"/>
    <mergeCell ref="B35:B37"/>
    <mergeCell ref="G32:J32"/>
    <mergeCell ref="G35:J35"/>
    <mergeCell ref="G33:J33"/>
    <mergeCell ref="G34:J34"/>
    <mergeCell ref="G36:J36"/>
    <mergeCell ref="G37:J37"/>
    <mergeCell ref="D48:N48"/>
    <mergeCell ref="V25:W25"/>
    <mergeCell ref="C18:C19"/>
    <mergeCell ref="B82:C82"/>
    <mergeCell ref="B75:C75"/>
    <mergeCell ref="B72:C72"/>
    <mergeCell ref="O63:V63"/>
    <mergeCell ref="W63:AC63"/>
    <mergeCell ref="G63:N63"/>
    <mergeCell ref="G64:N65"/>
    <mergeCell ref="O64:V65"/>
    <mergeCell ref="W64:AC65"/>
    <mergeCell ref="G66:N66"/>
    <mergeCell ref="O66:V66"/>
    <mergeCell ref="W66:AC66"/>
    <mergeCell ref="W67:AC69"/>
    <mergeCell ref="O67:V69"/>
    <mergeCell ref="G67:N69"/>
    <mergeCell ref="I82:J82"/>
    <mergeCell ref="B74:G74"/>
    <mergeCell ref="B76:F76"/>
    <mergeCell ref="B78:H78"/>
    <mergeCell ref="D82:H82"/>
    <mergeCell ref="B67:B69"/>
    <mergeCell ref="C67:F69"/>
    <mergeCell ref="D60:N60"/>
    <mergeCell ref="O48:AC48"/>
    <mergeCell ref="O49:AC49"/>
    <mergeCell ref="O50:AC50"/>
    <mergeCell ref="O51:AC51"/>
    <mergeCell ref="O52:AC52"/>
    <mergeCell ref="O54:AC54"/>
    <mergeCell ref="O53:AC53"/>
    <mergeCell ref="O56:AC56"/>
    <mergeCell ref="O55:AC55"/>
    <mergeCell ref="O58:AC58"/>
    <mergeCell ref="O57:AC57"/>
    <mergeCell ref="O59:AC59"/>
    <mergeCell ref="O60:AC60"/>
    <mergeCell ref="D49:N49"/>
    <mergeCell ref="D50:N50"/>
    <mergeCell ref="D51:N51"/>
    <mergeCell ref="D52:N52"/>
  </mergeCells>
  <phoneticPr fontId="1"/>
  <dataValidations count="5">
    <dataValidation type="list" allowBlank="1" showInputMessage="1" showErrorMessage="1" sqref="C4:C13 C16:C17 C26 C28:C37" xr:uid="{00000000-0002-0000-0300-000000000000}">
      <formula1>"　,〇"</formula1>
    </dataValidation>
    <dataValidation type="list" allowBlank="1" showInputMessage="1" showErrorMessage="1" sqref="C14:C15 C18:C25 C38:C45" xr:uid="{00000000-0002-0000-0300-000001000000}">
      <formula1>"　　 ,〇"</formula1>
    </dataValidation>
    <dataValidation type="list" allowBlank="1" showInputMessage="1" showErrorMessage="1" sqref="D75:E75" xr:uid="{00000000-0002-0000-0300-000002000000}">
      <formula1>"　,30　,32,34"</formula1>
    </dataValidation>
    <dataValidation type="list" allowBlank="1" showInputMessage="1" showErrorMessage="1" sqref="G76:H76" xr:uid="{00000000-0002-0000-0300-000003000000}">
      <formula1>"　,Ⅰ,Ⅱ,Ⅲ,Ⅳ"</formula1>
    </dataValidation>
    <dataValidation type="list" allowBlank="1" showInputMessage="1" showErrorMessage="1" sqref="E81:F81" xr:uid="{00000000-0002-0000-0300-000004000000}">
      <formula1>"　,1,2,3"</formula1>
    </dataValidation>
  </dataValidations>
  <pageMargins left="0.31496062992125984" right="0.31496062992125984" top="0.55118110236220474" bottom="0.35433070866141736" header="0.31496062992125984" footer="0.31496062992125984"/>
  <pageSetup paperSize="9" scale="70" orientation="portrait" horizontalDpi="1200" verticalDpi="1200"/>
  <rowBreaks count="1" manualBreakCount="1">
    <brk id="46" max="16383" man="1"/>
  </rowBreaks>
  <colBreaks count="1" manualBreakCount="1">
    <brk id="30" max="1048575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300-000005000000}">
          <x14:formula1>
            <xm:f>データ!$H$3:$H$9</xm:f>
          </x14:formula1>
          <xm:sqref>N42 N38 T24 M20 T20 G4 G6 P8 P10 M24 F32:F37</xm:sqref>
        </x14:dataValidation>
        <x14:dataValidation type="list" allowBlank="1" showInputMessage="1" showErrorMessage="1" xr:uid="{00000000-0002-0000-0300-000006000000}">
          <x14:formula1>
            <xm:f>データ!$H$3:$H$23</xm:f>
          </x14:formula1>
          <xm:sqref>H16 H12</xm:sqref>
        </x14:dataValidation>
        <x14:dataValidation type="list" allowBlank="1" showInputMessage="1" showErrorMessage="1" xr:uid="{00000000-0002-0000-0300-000007000000}">
          <x14:formula1>
            <xm:f>データ!$H$3:$H$22</xm:f>
          </x14:formula1>
          <xm:sqref>I30 I28</xm:sqref>
        </x14:dataValidation>
        <x14:dataValidation type="list" allowBlank="1" showInputMessage="1" showErrorMessage="1" xr:uid="{00000000-0002-0000-0300-000008000000}">
          <x14:formula1>
            <xm:f>データ!$H$3:$H$6</xm:f>
          </x14:formula1>
          <xm:sqref>G42 G38</xm:sqref>
        </x14:dataValidation>
        <x14:dataValidation type="list" allowBlank="1" showInputMessage="1" showErrorMessage="1" xr:uid="{00000000-0002-0000-0300-000009000000}">
          <x14:formula1>
            <xm:f>データ!$H$3:$H$5</xm:f>
          </x14:formula1>
          <xm:sqref>I10 I8</xm:sqref>
        </x14:dataValidation>
        <x14:dataValidation type="list" allowBlank="1" showInputMessage="1" showErrorMessage="1" xr:uid="{00000000-0002-0000-0300-00000A000000}">
          <x14:formula1>
            <xm:f>データ!$G$3:$G$5</xm:f>
          </x14:formula1>
          <xm:sqref>H30 H28 O8 O10</xm:sqref>
        </x14:dataValidation>
        <x14:dataValidation type="list" allowBlank="1" showInputMessage="1" showErrorMessage="1" xr:uid="{00000000-0002-0000-0300-00000B000000}">
          <x14:formula1>
            <xm:f>データ!$G$3:$G$4</xm:f>
          </x14:formula1>
          <xm:sqref>M38 M42 L20 S20 L24 S24</xm:sqref>
        </x14:dataValidation>
        <x14:dataValidation type="list" allowBlank="1" showInputMessage="1" showErrorMessage="1" xr:uid="{00000000-0002-0000-0300-00000C000000}">
          <x14:formula1>
            <xm:f>データ!$H$3:$H$10</xm:f>
          </x14:formula1>
          <xm:sqref>G24 G20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142"/>
  <sheetViews>
    <sheetView zoomScale="98" zoomScaleNormal="98" workbookViewId="0">
      <selection activeCell="B1" sqref="B1"/>
    </sheetView>
  </sheetViews>
  <sheetFormatPr defaultColWidth="9" defaultRowHeight="20.100000000000001" customHeight="1"/>
  <cols>
    <col min="1" max="1" width="0.25" style="16" customWidth="1"/>
    <col min="2" max="2" width="2.75" style="16" customWidth="1"/>
    <col min="3" max="3" width="4.625" style="19" customWidth="1"/>
    <col min="4" max="4" width="5.125" style="19" customWidth="1"/>
    <col min="5" max="5" width="9.75" style="16" bestFit="1" customWidth="1"/>
    <col min="6" max="9" width="4.625" style="16" customWidth="1"/>
    <col min="10" max="10" width="8.625" style="16" customWidth="1"/>
    <col min="11" max="12" width="4.625" style="16" customWidth="1"/>
    <col min="13" max="13" width="8.625" style="16" customWidth="1"/>
    <col min="14" max="14" width="2.375" style="16" bestFit="1" customWidth="1"/>
    <col min="15" max="15" width="5.375" style="16" customWidth="1"/>
    <col min="16" max="16" width="2.375" style="16" bestFit="1" customWidth="1"/>
    <col min="17" max="17" width="6.25" style="16" customWidth="1"/>
    <col min="18" max="18" width="4" style="16" customWidth="1"/>
    <col min="19" max="19" width="0.375" style="16" customWidth="1"/>
    <col min="20" max="20" width="10.5" style="16" bestFit="1" customWidth="1"/>
    <col min="21" max="22" width="9" style="16"/>
    <col min="23" max="23" width="9" style="16" customWidth="1"/>
    <col min="24" max="24" width="13.75" style="16" customWidth="1"/>
    <col min="25" max="25" width="8.25" style="16" customWidth="1"/>
    <col min="26" max="26" width="5.5" style="16" customWidth="1"/>
    <col min="27" max="27" width="31.625" style="16" customWidth="1"/>
    <col min="28" max="28" width="9" style="16" customWidth="1"/>
    <col min="29" max="16384" width="9" style="16"/>
  </cols>
  <sheetData>
    <row r="1" spans="2:17" ht="20.100000000000001" customHeight="1">
      <c r="B1" s="19" t="s">
        <v>283</v>
      </c>
    </row>
    <row r="2" spans="2:17" ht="20.100000000000001" customHeight="1">
      <c r="B2" s="19"/>
      <c r="C2" s="19" t="s">
        <v>285</v>
      </c>
    </row>
    <row r="3" spans="2:17" ht="20.100000000000001" customHeight="1">
      <c r="B3" s="19"/>
      <c r="C3" s="363" t="s">
        <v>251</v>
      </c>
      <c r="D3" s="363"/>
      <c r="E3" s="363"/>
      <c r="F3" s="363" t="s">
        <v>252</v>
      </c>
      <c r="G3" s="363"/>
      <c r="H3" s="363"/>
      <c r="I3" s="363"/>
      <c r="J3" s="363"/>
      <c r="K3" s="363"/>
      <c r="L3" s="363"/>
      <c r="M3" s="363"/>
      <c r="N3" s="363" t="s">
        <v>266</v>
      </c>
      <c r="O3" s="363"/>
      <c r="P3" s="363" t="s">
        <v>267</v>
      </c>
      <c r="Q3" s="363"/>
    </row>
    <row r="4" spans="2:17" ht="15" customHeight="1">
      <c r="B4" s="19"/>
      <c r="C4" s="370" t="s">
        <v>272</v>
      </c>
      <c r="D4" s="445"/>
      <c r="E4" s="371"/>
      <c r="F4" s="38" t="s">
        <v>273</v>
      </c>
      <c r="G4" s="12"/>
      <c r="H4" s="12"/>
      <c r="I4" s="12"/>
      <c r="J4" s="12"/>
      <c r="K4" s="12"/>
      <c r="L4" s="12"/>
      <c r="M4" s="12"/>
      <c r="N4" s="460" t="s">
        <v>265</v>
      </c>
      <c r="O4" s="490"/>
      <c r="P4" s="460" t="s">
        <v>265</v>
      </c>
      <c r="Q4" s="490"/>
    </row>
    <row r="5" spans="2:17" ht="20.100000000000001" customHeight="1">
      <c r="B5" s="19"/>
      <c r="C5" s="372"/>
      <c r="D5" s="446"/>
      <c r="E5" s="373"/>
      <c r="F5" s="38" t="s">
        <v>274</v>
      </c>
      <c r="G5" s="12"/>
      <c r="H5" s="12"/>
      <c r="I5" s="12"/>
      <c r="J5" s="12"/>
      <c r="K5" s="12"/>
      <c r="L5" s="12"/>
      <c r="M5" s="12"/>
      <c r="N5" s="462"/>
      <c r="O5" s="491"/>
      <c r="P5" s="462"/>
      <c r="Q5" s="491"/>
    </row>
    <row r="6" spans="2:17" ht="20.100000000000001" customHeight="1">
      <c r="B6" s="19"/>
      <c r="C6" s="367" t="s">
        <v>345</v>
      </c>
      <c r="D6" s="368"/>
      <c r="E6" s="368"/>
      <c r="F6" s="38" t="s">
        <v>196</v>
      </c>
      <c r="G6" s="12"/>
      <c r="H6" s="12"/>
      <c r="I6" s="12"/>
      <c r="J6" s="12"/>
      <c r="K6" s="12"/>
      <c r="L6" s="12"/>
      <c r="M6" s="12"/>
      <c r="N6" s="455" t="s">
        <v>265</v>
      </c>
      <c r="O6" s="455"/>
      <c r="P6" s="455" t="s">
        <v>265</v>
      </c>
      <c r="Q6" s="455"/>
    </row>
    <row r="7" spans="2:17" ht="20.100000000000001" customHeight="1">
      <c r="B7" s="19"/>
      <c r="C7" s="367" t="s">
        <v>314</v>
      </c>
      <c r="D7" s="368"/>
      <c r="E7" s="368"/>
      <c r="F7" s="38"/>
      <c r="G7" s="12"/>
      <c r="H7" s="12"/>
      <c r="I7" s="12"/>
      <c r="J7" s="12"/>
      <c r="K7" s="12"/>
      <c r="L7" s="12"/>
      <c r="M7" s="12"/>
      <c r="N7" s="455" t="s">
        <v>265</v>
      </c>
      <c r="O7" s="455"/>
      <c r="P7" s="455" t="s">
        <v>265</v>
      </c>
      <c r="Q7" s="455"/>
    </row>
    <row r="8" spans="2:17" ht="20.100000000000001" customHeight="1">
      <c r="B8" s="19"/>
      <c r="C8" s="367" t="s">
        <v>316</v>
      </c>
      <c r="D8" s="368"/>
      <c r="E8" s="368"/>
      <c r="F8" s="38" t="s">
        <v>315</v>
      </c>
      <c r="G8" s="12"/>
      <c r="H8" s="12"/>
      <c r="I8" s="12"/>
      <c r="J8" s="12"/>
      <c r="K8" s="12"/>
      <c r="L8" s="12"/>
      <c r="M8" s="12"/>
      <c r="N8" s="455" t="s">
        <v>265</v>
      </c>
      <c r="O8" s="455"/>
      <c r="P8" s="455" t="s">
        <v>265</v>
      </c>
      <c r="Q8" s="455"/>
    </row>
    <row r="9" spans="2:17" ht="20.100000000000001" customHeight="1">
      <c r="B9" s="19"/>
      <c r="C9" s="367" t="s">
        <v>313</v>
      </c>
      <c r="D9" s="368"/>
      <c r="E9" s="369"/>
      <c r="F9" s="38" t="s">
        <v>486</v>
      </c>
      <c r="G9" s="12"/>
      <c r="H9" s="12"/>
      <c r="I9" s="12"/>
      <c r="J9" s="12"/>
      <c r="K9" s="12"/>
      <c r="L9" s="12"/>
      <c r="M9" s="12"/>
      <c r="N9" s="453" t="s">
        <v>265</v>
      </c>
      <c r="O9" s="488"/>
      <c r="P9" s="453" t="s">
        <v>265</v>
      </c>
      <c r="Q9" s="488"/>
    </row>
    <row r="10" spans="2:17" ht="20.100000000000001" customHeight="1">
      <c r="B10" s="19"/>
      <c r="C10" s="367" t="s">
        <v>312</v>
      </c>
      <c r="D10" s="368"/>
      <c r="E10" s="368"/>
      <c r="F10" s="38" t="s">
        <v>317</v>
      </c>
      <c r="G10" s="12"/>
      <c r="H10" s="12"/>
      <c r="I10" s="12"/>
      <c r="J10" s="12"/>
      <c r="K10" s="12"/>
      <c r="L10" s="12"/>
      <c r="M10" s="12"/>
      <c r="N10" s="455" t="s">
        <v>265</v>
      </c>
      <c r="O10" s="455"/>
      <c r="P10" s="455" t="s">
        <v>265</v>
      </c>
      <c r="Q10" s="455"/>
    </row>
    <row r="11" spans="2:17" ht="20.100000000000001" customHeight="1">
      <c r="B11" s="19"/>
      <c r="C11" s="367" t="s">
        <v>310</v>
      </c>
      <c r="D11" s="368"/>
      <c r="E11" s="368"/>
      <c r="F11" s="38" t="s">
        <v>311</v>
      </c>
      <c r="G11" s="12"/>
      <c r="H11" s="12"/>
      <c r="I11" s="12"/>
      <c r="J11" s="12"/>
      <c r="K11" s="12"/>
      <c r="L11" s="12"/>
      <c r="M11" s="12"/>
      <c r="N11" s="455" t="s">
        <v>265</v>
      </c>
      <c r="O11" s="455"/>
      <c r="P11" s="455" t="s">
        <v>265</v>
      </c>
      <c r="Q11" s="455"/>
    </row>
    <row r="12" spans="2:17" ht="20.100000000000001" customHeight="1">
      <c r="B12" s="19"/>
      <c r="C12" s="367" t="s">
        <v>308</v>
      </c>
      <c r="D12" s="368"/>
      <c r="E12" s="368"/>
      <c r="F12" s="38" t="s">
        <v>309</v>
      </c>
      <c r="G12" s="12"/>
      <c r="H12" s="12"/>
      <c r="I12" s="12"/>
      <c r="J12" s="12"/>
      <c r="K12" s="12"/>
      <c r="L12" s="12"/>
      <c r="M12" s="12"/>
      <c r="N12" s="455" t="s">
        <v>265</v>
      </c>
      <c r="O12" s="455"/>
      <c r="P12" s="455" t="s">
        <v>265</v>
      </c>
      <c r="Q12" s="455"/>
    </row>
    <row r="13" spans="2:17" ht="20.100000000000001" customHeight="1">
      <c r="B13" s="19"/>
      <c r="C13" s="367" t="s">
        <v>126</v>
      </c>
      <c r="D13" s="368"/>
      <c r="E13" s="369"/>
      <c r="F13" s="38" t="s">
        <v>197</v>
      </c>
      <c r="G13" s="12"/>
      <c r="H13" s="12"/>
      <c r="I13" s="12"/>
      <c r="J13" s="12"/>
      <c r="K13" s="12"/>
      <c r="L13" s="12"/>
      <c r="M13" s="12"/>
      <c r="N13" s="455" t="s">
        <v>265</v>
      </c>
      <c r="O13" s="455"/>
      <c r="P13" s="455" t="s">
        <v>265</v>
      </c>
      <c r="Q13" s="455"/>
    </row>
    <row r="14" spans="2:17" ht="20.100000000000001" customHeight="1">
      <c r="B14" s="19"/>
      <c r="C14" s="367" t="s">
        <v>203</v>
      </c>
      <c r="D14" s="368"/>
      <c r="E14" s="369"/>
      <c r="F14" s="38" t="s">
        <v>485</v>
      </c>
      <c r="G14" s="12"/>
      <c r="H14" s="12"/>
      <c r="I14" s="12"/>
      <c r="J14" s="12"/>
      <c r="K14" s="12"/>
      <c r="L14" s="12"/>
      <c r="M14" s="12"/>
      <c r="N14" s="455" t="s">
        <v>265</v>
      </c>
      <c r="O14" s="455"/>
      <c r="P14" s="455" t="s">
        <v>265</v>
      </c>
      <c r="Q14" s="455"/>
    </row>
    <row r="15" spans="2:17" ht="20.100000000000001" customHeight="1">
      <c r="B15" s="19"/>
      <c r="C15" s="367" t="s">
        <v>158</v>
      </c>
      <c r="D15" s="368"/>
      <c r="E15" s="369"/>
      <c r="F15" s="38" t="s">
        <v>318</v>
      </c>
      <c r="G15" s="12"/>
      <c r="H15" s="12"/>
      <c r="I15" s="12"/>
      <c r="J15" s="12"/>
      <c r="K15" s="12"/>
      <c r="L15" s="12"/>
      <c r="M15" s="12"/>
      <c r="N15" s="455" t="s">
        <v>265</v>
      </c>
      <c r="O15" s="455"/>
      <c r="P15" s="455" t="s">
        <v>265</v>
      </c>
      <c r="Q15" s="455"/>
    </row>
    <row r="16" spans="2:17" ht="20.100000000000001" customHeight="1">
      <c r="B16" s="19"/>
      <c r="C16" s="367" t="s">
        <v>50</v>
      </c>
      <c r="D16" s="368"/>
      <c r="E16" s="369"/>
      <c r="F16" s="38" t="s">
        <v>319</v>
      </c>
      <c r="G16" s="12"/>
      <c r="H16" s="12"/>
      <c r="I16" s="12"/>
      <c r="J16" s="12"/>
      <c r="K16" s="12"/>
      <c r="L16" s="12"/>
      <c r="M16" s="12"/>
      <c r="N16" s="455" t="s">
        <v>265</v>
      </c>
      <c r="O16" s="455"/>
      <c r="P16" s="455" t="s">
        <v>265</v>
      </c>
      <c r="Q16" s="455"/>
    </row>
    <row r="17" spans="2:34" ht="20.100000000000001" customHeight="1">
      <c r="B17" s="19"/>
      <c r="C17" s="370" t="s">
        <v>320</v>
      </c>
      <c r="D17" s="445"/>
      <c r="E17" s="371"/>
      <c r="F17" s="38" t="s">
        <v>322</v>
      </c>
      <c r="G17" s="12"/>
      <c r="H17" s="12"/>
      <c r="I17" s="12"/>
      <c r="J17" s="12"/>
      <c r="K17" s="12"/>
      <c r="L17" s="12"/>
      <c r="M17" s="12"/>
      <c r="N17" s="455" t="s">
        <v>265</v>
      </c>
      <c r="O17" s="455"/>
      <c r="P17" s="455" t="s">
        <v>265</v>
      </c>
      <c r="Q17" s="455"/>
    </row>
    <row r="18" spans="2:34" ht="20.100000000000001" customHeight="1">
      <c r="B18" s="19"/>
      <c r="C18" s="372"/>
      <c r="D18" s="446"/>
      <c r="E18" s="373"/>
      <c r="F18" s="38" t="s">
        <v>321</v>
      </c>
      <c r="G18" s="12"/>
      <c r="H18" s="12"/>
      <c r="I18" s="12"/>
      <c r="J18" s="12"/>
      <c r="K18" s="12"/>
      <c r="L18" s="12"/>
      <c r="M18" s="12"/>
      <c r="N18" s="455" t="s">
        <v>265</v>
      </c>
      <c r="O18" s="455"/>
      <c r="P18" s="455" t="s">
        <v>265</v>
      </c>
      <c r="Q18" s="455"/>
    </row>
    <row r="19" spans="2:34" ht="20.100000000000001" customHeight="1">
      <c r="B19" s="19"/>
      <c r="C19" s="367" t="s">
        <v>346</v>
      </c>
      <c r="D19" s="368"/>
      <c r="E19" s="369"/>
      <c r="F19" s="38" t="s">
        <v>347</v>
      </c>
      <c r="G19" s="12"/>
      <c r="H19" s="12"/>
      <c r="I19" s="12"/>
      <c r="J19" s="12"/>
      <c r="K19" s="12"/>
      <c r="L19" s="12"/>
      <c r="M19" s="12"/>
      <c r="N19" s="455" t="s">
        <v>265</v>
      </c>
      <c r="O19" s="455"/>
      <c r="P19" s="455" t="s">
        <v>265</v>
      </c>
      <c r="Q19" s="455"/>
    </row>
    <row r="20" spans="2:34" ht="20.100000000000001" customHeight="1">
      <c r="B20" s="19"/>
      <c r="C20" s="367" t="s">
        <v>71</v>
      </c>
      <c r="D20" s="368"/>
      <c r="E20" s="368"/>
      <c r="F20" s="38" t="s">
        <v>306</v>
      </c>
      <c r="G20" s="12"/>
      <c r="H20" s="12"/>
      <c r="I20" s="12"/>
      <c r="J20" s="12"/>
      <c r="K20" s="12"/>
      <c r="L20" s="12"/>
      <c r="M20" s="12"/>
      <c r="N20" s="455" t="s">
        <v>265</v>
      </c>
      <c r="O20" s="455"/>
      <c r="P20" s="455" t="s">
        <v>265</v>
      </c>
      <c r="Q20" s="455"/>
    </row>
    <row r="21" spans="2:34" ht="20.100000000000001" customHeight="1">
      <c r="B21" s="19"/>
      <c r="C21" s="193"/>
      <c r="D21" s="193"/>
      <c r="E21" s="193"/>
      <c r="F21" s="2"/>
      <c r="G21" s="2"/>
      <c r="H21" s="2"/>
      <c r="I21" s="2"/>
      <c r="J21" s="2"/>
      <c r="K21" s="2"/>
      <c r="L21" s="2"/>
      <c r="M21" s="2"/>
      <c r="N21" s="90"/>
      <c r="O21" s="90"/>
      <c r="P21" s="90"/>
      <c r="Q21" s="90"/>
    </row>
    <row r="22" spans="2:34" ht="20.100000000000001" customHeight="1">
      <c r="B22" s="19"/>
      <c r="C22" s="19" t="s">
        <v>287</v>
      </c>
      <c r="D22" s="193"/>
      <c r="E22" s="19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90"/>
    </row>
    <row r="23" spans="2:34" ht="20.25" customHeight="1">
      <c r="B23" s="19"/>
      <c r="C23" s="363" t="s">
        <v>251</v>
      </c>
      <c r="D23" s="363"/>
      <c r="E23" s="363"/>
      <c r="F23" s="367" t="s">
        <v>252</v>
      </c>
      <c r="G23" s="368"/>
      <c r="H23" s="368"/>
      <c r="I23" s="368"/>
      <c r="J23" s="368"/>
      <c r="K23" s="368"/>
      <c r="L23" s="367" t="s">
        <v>293</v>
      </c>
      <c r="M23" s="368"/>
      <c r="N23" s="368"/>
      <c r="O23" s="368"/>
      <c r="P23" s="369"/>
      <c r="Q23" s="363" t="s">
        <v>292</v>
      </c>
      <c r="R23" s="36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2:34" ht="20.100000000000001" customHeight="1">
      <c r="B24" s="19"/>
      <c r="C24" s="370" t="s">
        <v>286</v>
      </c>
      <c r="D24" s="445"/>
      <c r="E24" s="371"/>
      <c r="F24" s="367" t="s">
        <v>445</v>
      </c>
      <c r="G24" s="368"/>
      <c r="H24" s="368"/>
      <c r="I24" s="368"/>
      <c r="J24" s="368"/>
      <c r="K24" s="368"/>
      <c r="L24" s="363" t="s">
        <v>503</v>
      </c>
      <c r="M24" s="363"/>
      <c r="N24" s="360"/>
      <c r="O24" s="360"/>
      <c r="P24" s="360"/>
      <c r="Q24" s="482" t="str">
        <f>IF(N24="","",IF(N24&lt;9.6,"OK","省略不可"))</f>
        <v/>
      </c>
      <c r="R24" s="482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2:34" ht="20.100000000000001" customHeight="1">
      <c r="B25" s="19"/>
      <c r="C25" s="370" t="s">
        <v>50</v>
      </c>
      <c r="D25" s="445"/>
      <c r="E25" s="371"/>
      <c r="F25" s="367" t="s">
        <v>156</v>
      </c>
      <c r="G25" s="368"/>
      <c r="H25" s="368"/>
      <c r="I25" s="368"/>
      <c r="J25" s="368"/>
      <c r="K25" s="368"/>
      <c r="L25" s="443" t="s">
        <v>296</v>
      </c>
      <c r="M25" s="487"/>
      <c r="N25" s="487"/>
      <c r="O25" s="487"/>
      <c r="P25" s="444"/>
      <c r="Q25" s="370" t="str">
        <f>IF(OR(N26="",N27="",L25=""),"",IF(AND(L25="杉",N26&gt;=150,N26&lt;=240,N27&gt;=5,N27&lt;=7.5),"OK","省略不可"))</f>
        <v/>
      </c>
      <c r="R25" s="371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2:34" ht="20.100000000000001" customHeight="1">
      <c r="B26" s="19"/>
      <c r="C26" s="375"/>
      <c r="D26" s="348"/>
      <c r="E26" s="376"/>
      <c r="F26" s="387" t="s">
        <v>507</v>
      </c>
      <c r="G26" s="388"/>
      <c r="H26" s="388"/>
      <c r="I26" s="388"/>
      <c r="J26" s="388"/>
      <c r="K26" s="388"/>
      <c r="L26" s="363" t="s">
        <v>501</v>
      </c>
      <c r="M26" s="363"/>
      <c r="N26" s="360"/>
      <c r="O26" s="360"/>
      <c r="P26" s="360"/>
      <c r="Q26" s="375"/>
      <c r="R26" s="376"/>
      <c r="X26"/>
      <c r="Y26"/>
      <c r="Z26"/>
      <c r="AA26"/>
      <c r="AB26"/>
      <c r="AC26"/>
      <c r="AD26"/>
      <c r="AE26"/>
      <c r="AF26"/>
      <c r="AG26"/>
      <c r="AH26"/>
    </row>
    <row r="27" spans="2:34" ht="20.100000000000001" customHeight="1">
      <c r="B27" s="19"/>
      <c r="C27" s="375"/>
      <c r="D27" s="348"/>
      <c r="E27" s="376"/>
      <c r="F27" s="387" t="s">
        <v>443</v>
      </c>
      <c r="G27" s="388"/>
      <c r="H27" s="388"/>
      <c r="I27" s="388"/>
      <c r="J27" s="388"/>
      <c r="K27" s="389"/>
      <c r="L27" s="367" t="s">
        <v>502</v>
      </c>
      <c r="M27" s="369"/>
      <c r="N27" s="356"/>
      <c r="O27" s="361"/>
      <c r="P27" s="357"/>
      <c r="Q27" s="375"/>
      <c r="R27" s="376"/>
      <c r="X27"/>
      <c r="Y27"/>
      <c r="Z27"/>
      <c r="AA27"/>
      <c r="AB27"/>
      <c r="AC27"/>
      <c r="AD27"/>
      <c r="AE27"/>
      <c r="AF27"/>
      <c r="AG27"/>
      <c r="AH27"/>
    </row>
    <row r="28" spans="2:34" ht="20.100000000000001" customHeight="1">
      <c r="B28" s="19"/>
      <c r="C28" s="370" t="s">
        <v>135</v>
      </c>
      <c r="D28" s="445"/>
      <c r="E28" s="371"/>
      <c r="F28" s="476" t="s">
        <v>288</v>
      </c>
      <c r="G28" s="474"/>
      <c r="H28" s="474"/>
      <c r="I28" s="474"/>
      <c r="J28" s="474"/>
      <c r="K28" s="474"/>
      <c r="L28" s="370" t="s">
        <v>504</v>
      </c>
      <c r="M28" s="371"/>
      <c r="N28" s="479"/>
      <c r="O28" s="480"/>
      <c r="P28" s="481"/>
      <c r="Q28" s="483" t="str">
        <f>IF(OR(N28="",N29=""),"",IF(AND(N28&lt;=3200,N29="無"),"OK","省略不可"))</f>
        <v/>
      </c>
      <c r="R28" s="484"/>
      <c r="X28"/>
      <c r="Y28"/>
      <c r="Z28"/>
      <c r="AA28"/>
      <c r="AB28"/>
      <c r="AC28"/>
      <c r="AD28"/>
      <c r="AE28"/>
      <c r="AF28"/>
      <c r="AG28"/>
      <c r="AH28"/>
    </row>
    <row r="29" spans="2:34" ht="20.100000000000001" customHeight="1">
      <c r="B29" s="19"/>
      <c r="C29" s="372"/>
      <c r="D29" s="446"/>
      <c r="E29" s="373"/>
      <c r="F29" s="477"/>
      <c r="G29" s="478"/>
      <c r="H29" s="478"/>
      <c r="I29" s="478"/>
      <c r="J29" s="478"/>
      <c r="K29" s="478"/>
      <c r="L29" s="370" t="s">
        <v>294</v>
      </c>
      <c r="M29" s="371"/>
      <c r="N29" s="479" t="s">
        <v>296</v>
      </c>
      <c r="O29" s="480"/>
      <c r="P29" s="481"/>
      <c r="Q29" s="485"/>
      <c r="R29" s="486"/>
      <c r="X29"/>
      <c r="Y29"/>
      <c r="Z29"/>
      <c r="AA29"/>
      <c r="AB29"/>
      <c r="AC29"/>
      <c r="AD29"/>
      <c r="AE29"/>
      <c r="AF29"/>
      <c r="AG29"/>
      <c r="AH29"/>
    </row>
    <row r="30" spans="2:34" ht="20.100000000000001" customHeight="1">
      <c r="B30" s="19"/>
      <c r="C30" s="367" t="s">
        <v>138</v>
      </c>
      <c r="D30" s="368"/>
      <c r="E30" s="369"/>
      <c r="F30" s="364" t="s">
        <v>290</v>
      </c>
      <c r="G30" s="365"/>
      <c r="H30" s="365"/>
      <c r="I30" s="365"/>
      <c r="J30" s="365"/>
      <c r="K30" s="365"/>
      <c r="L30" s="356" t="s">
        <v>296</v>
      </c>
      <c r="M30" s="361"/>
      <c r="N30" s="361"/>
      <c r="O30" s="361"/>
      <c r="P30" s="357"/>
      <c r="Q30" s="482" t="str">
        <f>IF(L30="　","",IF(L30="「くまもと型設計法」","OK","省略不可"))</f>
        <v/>
      </c>
      <c r="R30" s="482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2:34" ht="20.100000000000001" customHeight="1">
      <c r="B31" s="19"/>
      <c r="C31" s="367" t="s">
        <v>291</v>
      </c>
      <c r="D31" s="368"/>
      <c r="E31" s="369"/>
      <c r="F31" s="364" t="s">
        <v>290</v>
      </c>
      <c r="G31" s="365"/>
      <c r="H31" s="365"/>
      <c r="I31" s="365"/>
      <c r="J31" s="365"/>
      <c r="K31" s="365"/>
      <c r="L31" s="356" t="s">
        <v>296</v>
      </c>
      <c r="M31" s="361"/>
      <c r="N31" s="361"/>
      <c r="O31" s="361"/>
      <c r="P31" s="357"/>
      <c r="Q31" s="482" t="str">
        <f>IF(L31="　","",IF(L31="「くまもと型設計法」","OK","省略不可"))</f>
        <v/>
      </c>
      <c r="R31" s="482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2:34" ht="20.100000000000001" customHeight="1">
      <c r="B32" s="19"/>
      <c r="C32" s="367" t="s">
        <v>134</v>
      </c>
      <c r="D32" s="368"/>
      <c r="E32" s="369"/>
      <c r="F32" s="364" t="s">
        <v>290</v>
      </c>
      <c r="G32" s="365"/>
      <c r="H32" s="365"/>
      <c r="I32" s="365"/>
      <c r="J32" s="365"/>
      <c r="K32" s="365"/>
      <c r="L32" s="356" t="s">
        <v>296</v>
      </c>
      <c r="M32" s="361"/>
      <c r="N32" s="361"/>
      <c r="O32" s="361"/>
      <c r="P32" s="357"/>
      <c r="Q32" s="482" t="str">
        <f>IF(L32="　","",IF(L32="「くまもと型設計法」","OK","省略不可"))</f>
        <v/>
      </c>
      <c r="R32" s="48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ht="20.100000000000001" customHeight="1">
      <c r="B33" s="19"/>
      <c r="C33" s="474" t="s">
        <v>295</v>
      </c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ht="20.100000000000001" customHeight="1">
      <c r="B34" s="19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ht="20.100000000000001" customHeight="1">
      <c r="B35" s="19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ht="20.100000000000001" customHeight="1">
      <c r="C36" s="19" t="s">
        <v>260</v>
      </c>
    </row>
    <row r="37" spans="2:34" ht="15.75" customHeight="1">
      <c r="C37" s="363" t="s">
        <v>251</v>
      </c>
      <c r="D37" s="363"/>
      <c r="E37" s="363"/>
      <c r="F37" s="363" t="s">
        <v>253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  <row r="38" spans="2:34" ht="20.100000000000001" customHeight="1">
      <c r="C38" s="367" t="s">
        <v>52</v>
      </c>
      <c r="D38" s="368"/>
      <c r="E38" s="368"/>
      <c r="F38" s="455" t="s">
        <v>265</v>
      </c>
      <c r="G38" s="453"/>
      <c r="H38" s="388" t="s">
        <v>487</v>
      </c>
      <c r="I38" s="388"/>
      <c r="J38" s="388"/>
      <c r="K38" s="388"/>
      <c r="L38" s="388"/>
      <c r="M38" s="388"/>
      <c r="N38" s="388"/>
      <c r="O38" s="388"/>
      <c r="P38" s="388"/>
      <c r="Q38" s="389"/>
    </row>
    <row r="39" spans="2:34" ht="20.100000000000001" customHeight="1">
      <c r="C39" s="367"/>
      <c r="D39" s="368"/>
      <c r="E39" s="368"/>
      <c r="F39" s="455" t="s">
        <v>265</v>
      </c>
      <c r="G39" s="453"/>
      <c r="H39" s="388" t="s">
        <v>494</v>
      </c>
      <c r="I39" s="388"/>
      <c r="J39" s="388"/>
      <c r="K39" s="388"/>
      <c r="L39" s="388"/>
      <c r="M39" s="388"/>
      <c r="N39" s="388"/>
      <c r="O39" s="388"/>
      <c r="P39" s="388"/>
      <c r="Q39" s="389"/>
    </row>
    <row r="40" spans="2:34" ht="20.100000000000001" customHeight="1">
      <c r="C40" s="367"/>
      <c r="D40" s="368"/>
      <c r="E40" s="368"/>
      <c r="F40" s="455" t="s">
        <v>265</v>
      </c>
      <c r="G40" s="453"/>
      <c r="H40" s="388" t="s">
        <v>184</v>
      </c>
      <c r="I40" s="388"/>
      <c r="J40" s="388"/>
      <c r="K40" s="388"/>
      <c r="L40" s="388"/>
      <c r="M40" s="388"/>
      <c r="N40" s="388"/>
      <c r="O40" s="388"/>
      <c r="P40" s="388"/>
      <c r="Q40" s="389"/>
    </row>
    <row r="41" spans="2:34" ht="20.100000000000001" customHeight="1">
      <c r="C41" s="370" t="s">
        <v>126</v>
      </c>
      <c r="D41" s="445"/>
      <c r="E41" s="371"/>
      <c r="F41" s="455" t="s">
        <v>265</v>
      </c>
      <c r="G41" s="453"/>
      <c r="H41" s="388" t="s">
        <v>495</v>
      </c>
      <c r="I41" s="388"/>
      <c r="J41" s="388"/>
      <c r="K41" s="388"/>
      <c r="L41" s="388"/>
      <c r="M41" s="388"/>
      <c r="N41" s="388"/>
      <c r="O41" s="388"/>
      <c r="P41" s="388"/>
      <c r="Q41" s="389"/>
    </row>
    <row r="42" spans="2:34" ht="20.100000000000001" customHeight="1">
      <c r="C42" s="372"/>
      <c r="D42" s="446"/>
      <c r="E42" s="373"/>
      <c r="F42" s="455" t="s">
        <v>265</v>
      </c>
      <c r="G42" s="453"/>
      <c r="H42" s="388" t="s">
        <v>184</v>
      </c>
      <c r="I42" s="388"/>
      <c r="J42" s="388"/>
      <c r="K42" s="388"/>
      <c r="L42" s="388"/>
      <c r="M42" s="388"/>
      <c r="N42" s="388"/>
      <c r="O42" s="388"/>
      <c r="P42" s="388"/>
      <c r="Q42" s="389"/>
    </row>
    <row r="43" spans="2:34" ht="20.100000000000001" customHeight="1">
      <c r="C43" s="367" t="s">
        <v>134</v>
      </c>
      <c r="D43" s="368"/>
      <c r="E43" s="368"/>
      <c r="F43" s="455" t="s">
        <v>265</v>
      </c>
      <c r="G43" s="453"/>
      <c r="H43" s="472" t="s">
        <v>254</v>
      </c>
      <c r="I43" s="472"/>
      <c r="J43" s="472"/>
      <c r="K43" s="472"/>
      <c r="L43" s="472"/>
      <c r="M43" s="472"/>
      <c r="N43" s="472"/>
      <c r="O43" s="472"/>
      <c r="P43" s="472"/>
      <c r="Q43" s="473"/>
    </row>
    <row r="44" spans="2:34" ht="27.75" customHeight="1">
      <c r="C44" s="367"/>
      <c r="D44" s="368"/>
      <c r="E44" s="368"/>
      <c r="F44" s="453" t="s">
        <v>265</v>
      </c>
      <c r="G44" s="454"/>
      <c r="H44" s="472" t="s">
        <v>136</v>
      </c>
      <c r="I44" s="472"/>
      <c r="J44" s="472"/>
      <c r="K44" s="472"/>
      <c r="L44" s="472"/>
      <c r="M44" s="472"/>
      <c r="N44" s="472"/>
      <c r="O44" s="472"/>
      <c r="P44" s="472"/>
      <c r="Q44" s="473"/>
    </row>
    <row r="45" spans="2:34" ht="20.100000000000001" customHeight="1">
      <c r="C45" s="367"/>
      <c r="D45" s="368"/>
      <c r="E45" s="368"/>
      <c r="F45" s="455" t="s">
        <v>265</v>
      </c>
      <c r="G45" s="453"/>
      <c r="H45" s="388" t="s">
        <v>137</v>
      </c>
      <c r="I45" s="388"/>
      <c r="J45" s="388"/>
      <c r="K45" s="388"/>
      <c r="L45" s="388"/>
      <c r="M45" s="388"/>
      <c r="N45" s="388"/>
      <c r="O45" s="388"/>
      <c r="P45" s="388"/>
      <c r="Q45" s="389"/>
    </row>
    <row r="46" spans="2:34" ht="30" customHeight="1">
      <c r="C46" s="367" t="s">
        <v>50</v>
      </c>
      <c r="D46" s="368"/>
      <c r="E46" s="368"/>
      <c r="F46" s="455" t="s">
        <v>265</v>
      </c>
      <c r="G46" s="453"/>
      <c r="H46" s="12" t="s">
        <v>254</v>
      </c>
      <c r="I46" s="12"/>
      <c r="J46" s="12"/>
      <c r="K46" s="12"/>
      <c r="L46" s="187" t="s">
        <v>265</v>
      </c>
      <c r="M46" s="456" t="s">
        <v>71</v>
      </c>
      <c r="N46" s="456"/>
      <c r="O46" s="456"/>
      <c r="P46" s="12"/>
      <c r="Q46" s="9"/>
    </row>
    <row r="47" spans="2:34" ht="20.100000000000001" customHeight="1">
      <c r="C47" s="367" t="s">
        <v>286</v>
      </c>
      <c r="D47" s="368"/>
      <c r="E47" s="369"/>
      <c r="F47" s="455" t="s">
        <v>265</v>
      </c>
      <c r="G47" s="453"/>
      <c r="H47" s="12" t="s">
        <v>254</v>
      </c>
      <c r="I47" s="12"/>
      <c r="J47" s="12"/>
      <c r="K47" s="12"/>
      <c r="L47" s="187" t="s">
        <v>265</v>
      </c>
      <c r="M47" s="456" t="s">
        <v>71</v>
      </c>
      <c r="N47" s="456"/>
      <c r="O47" s="456"/>
      <c r="P47" s="12"/>
      <c r="Q47" s="9"/>
    </row>
    <row r="48" spans="2:34" ht="20.100000000000001" customHeight="1">
      <c r="C48" s="367" t="s">
        <v>138</v>
      </c>
      <c r="D48" s="368"/>
      <c r="E48" s="368"/>
      <c r="F48" s="455" t="s">
        <v>265</v>
      </c>
      <c r="G48" s="453"/>
      <c r="H48" s="12" t="s">
        <v>254</v>
      </c>
      <c r="I48" s="12"/>
      <c r="J48" s="12"/>
      <c r="K48" s="12"/>
      <c r="L48" s="12"/>
      <c r="M48" s="12"/>
      <c r="N48" s="12"/>
      <c r="O48" s="12"/>
      <c r="P48" s="12"/>
      <c r="Q48" s="83"/>
    </row>
    <row r="49" spans="3:17" ht="20.100000000000001" customHeight="1">
      <c r="C49" s="367"/>
      <c r="D49" s="368"/>
      <c r="E49" s="368"/>
      <c r="F49" s="453" t="s">
        <v>265</v>
      </c>
      <c r="G49" s="454"/>
      <c r="H49" s="12" t="s">
        <v>133</v>
      </c>
      <c r="I49" s="12"/>
      <c r="J49" s="12"/>
      <c r="K49" s="12"/>
      <c r="L49" s="12"/>
      <c r="M49" s="12"/>
      <c r="N49" s="12"/>
      <c r="O49" s="12"/>
      <c r="P49" s="12"/>
      <c r="Q49" s="83"/>
    </row>
    <row r="50" spans="3:17" ht="20.100000000000001" customHeight="1">
      <c r="C50" s="370" t="s">
        <v>132</v>
      </c>
      <c r="D50" s="445"/>
      <c r="E50" s="371"/>
      <c r="F50" s="453" t="s">
        <v>265</v>
      </c>
      <c r="G50" s="454"/>
      <c r="H50" s="388" t="s">
        <v>328</v>
      </c>
      <c r="I50" s="388"/>
      <c r="J50" s="388"/>
      <c r="K50" s="388"/>
      <c r="L50" s="388"/>
      <c r="M50" s="388"/>
      <c r="N50" s="388"/>
      <c r="O50" s="388"/>
      <c r="P50" s="388"/>
      <c r="Q50" s="389"/>
    </row>
    <row r="51" spans="3:17" ht="20.100000000000001" customHeight="1">
      <c r="C51" s="375"/>
      <c r="D51" s="377"/>
      <c r="E51" s="376"/>
      <c r="F51" s="466" t="s">
        <v>265</v>
      </c>
      <c r="G51" s="460"/>
      <c r="H51" s="388" t="s">
        <v>129</v>
      </c>
      <c r="I51" s="388"/>
      <c r="J51" s="388"/>
      <c r="K51" s="388"/>
      <c r="L51" s="388"/>
      <c r="M51" s="388"/>
      <c r="N51" s="388"/>
      <c r="O51" s="388"/>
      <c r="P51" s="388"/>
      <c r="Q51" s="389"/>
    </row>
    <row r="52" spans="3:17" ht="20.100000000000001" customHeight="1">
      <c r="C52" s="375"/>
      <c r="D52" s="377"/>
      <c r="E52" s="376"/>
      <c r="F52" s="460" t="s">
        <v>265</v>
      </c>
      <c r="G52" s="461"/>
      <c r="H52" s="464" t="s">
        <v>289</v>
      </c>
      <c r="I52" s="464"/>
      <c r="J52" s="469"/>
      <c r="K52" s="187" t="s">
        <v>265</v>
      </c>
      <c r="L52" s="8" t="s">
        <v>325</v>
      </c>
      <c r="M52" s="8"/>
      <c r="N52" s="12"/>
      <c r="O52" s="12"/>
      <c r="P52" s="12"/>
      <c r="Q52" s="83"/>
    </row>
    <row r="53" spans="3:17" ht="20.100000000000001" customHeight="1">
      <c r="C53" s="375"/>
      <c r="D53" s="377"/>
      <c r="E53" s="376"/>
      <c r="F53" s="467"/>
      <c r="G53" s="468"/>
      <c r="H53" s="374"/>
      <c r="I53" s="374"/>
      <c r="J53" s="470"/>
      <c r="K53" s="187" t="s">
        <v>265</v>
      </c>
      <c r="L53" s="8" t="s">
        <v>323</v>
      </c>
      <c r="M53" s="8"/>
      <c r="N53" s="12"/>
      <c r="O53" s="12"/>
      <c r="P53" s="12"/>
      <c r="Q53" s="83"/>
    </row>
    <row r="54" spans="3:17" ht="20.100000000000001" customHeight="1">
      <c r="C54" s="372"/>
      <c r="D54" s="446"/>
      <c r="E54" s="373"/>
      <c r="F54" s="462"/>
      <c r="G54" s="463"/>
      <c r="H54" s="362"/>
      <c r="I54" s="362"/>
      <c r="J54" s="471"/>
      <c r="K54" s="187" t="s">
        <v>265</v>
      </c>
      <c r="L54" s="8" t="s">
        <v>324</v>
      </c>
      <c r="M54" s="8"/>
      <c r="N54" s="12"/>
      <c r="O54" s="12"/>
      <c r="P54" s="12"/>
      <c r="Q54" s="83"/>
    </row>
    <row r="55" spans="3:17" ht="20.100000000000001" customHeight="1">
      <c r="C55" s="367" t="s">
        <v>327</v>
      </c>
      <c r="D55" s="368"/>
      <c r="E55" s="368"/>
      <c r="F55" s="455" t="s">
        <v>265</v>
      </c>
      <c r="G55" s="453"/>
      <c r="H55" s="12" t="s">
        <v>488</v>
      </c>
      <c r="I55" s="12"/>
      <c r="J55" s="12"/>
      <c r="K55" s="12"/>
      <c r="L55" s="8"/>
      <c r="M55" s="217" t="s">
        <v>265</v>
      </c>
      <c r="N55" s="388" t="s">
        <v>71</v>
      </c>
      <c r="O55" s="388"/>
      <c r="P55" s="388"/>
      <c r="Q55" s="389"/>
    </row>
    <row r="56" spans="3:17" ht="20.100000000000001" customHeight="1">
      <c r="C56" s="367" t="s">
        <v>326</v>
      </c>
      <c r="D56" s="368"/>
      <c r="E56" s="368"/>
      <c r="F56" s="455" t="s">
        <v>265</v>
      </c>
      <c r="G56" s="453"/>
      <c r="H56" s="12" t="s">
        <v>488</v>
      </c>
      <c r="I56" s="12"/>
      <c r="J56" s="12"/>
      <c r="K56" s="12"/>
      <c r="L56" s="8"/>
      <c r="M56" s="217" t="s">
        <v>265</v>
      </c>
      <c r="N56" s="388" t="s">
        <v>71</v>
      </c>
      <c r="O56" s="388"/>
      <c r="P56" s="388"/>
      <c r="Q56" s="389"/>
    </row>
    <row r="57" spans="3:17" ht="20.100000000000001" customHeight="1">
      <c r="C57" s="367" t="s">
        <v>135</v>
      </c>
      <c r="D57" s="368"/>
      <c r="E57" s="368"/>
      <c r="F57" s="460" t="s">
        <v>68</v>
      </c>
      <c r="G57" s="461"/>
      <c r="H57" s="464" t="s">
        <v>130</v>
      </c>
      <c r="I57" s="464"/>
      <c r="J57" s="189" t="s">
        <v>68</v>
      </c>
      <c r="K57" s="101" t="s">
        <v>254</v>
      </c>
      <c r="L57" s="101"/>
      <c r="M57" s="101"/>
      <c r="N57" s="461" t="s">
        <v>265</v>
      </c>
      <c r="O57" s="461"/>
      <c r="P57" s="445" t="s">
        <v>131</v>
      </c>
      <c r="Q57" s="371"/>
    </row>
    <row r="58" spans="3:17" ht="20.100000000000001" customHeight="1">
      <c r="C58" s="367"/>
      <c r="D58" s="368"/>
      <c r="E58" s="368"/>
      <c r="F58" s="462"/>
      <c r="G58" s="463"/>
      <c r="H58" s="362"/>
      <c r="I58" s="362"/>
      <c r="J58" s="190" t="s">
        <v>68</v>
      </c>
      <c r="K58" s="465" t="s">
        <v>71</v>
      </c>
      <c r="L58" s="465"/>
      <c r="M58" s="465"/>
      <c r="N58" s="463"/>
      <c r="O58" s="463"/>
      <c r="P58" s="446"/>
      <c r="Q58" s="373"/>
    </row>
    <row r="59" spans="3:17" ht="20.100000000000001" customHeight="1">
      <c r="C59" s="367" t="s">
        <v>1</v>
      </c>
      <c r="D59" s="368"/>
      <c r="E59" s="368"/>
      <c r="F59" s="455" t="s">
        <v>265</v>
      </c>
      <c r="G59" s="453"/>
      <c r="H59" s="12" t="s">
        <v>254</v>
      </c>
      <c r="I59" s="12"/>
      <c r="J59" s="12"/>
      <c r="K59" s="12"/>
      <c r="L59" s="187" t="s">
        <v>265</v>
      </c>
      <c r="M59" s="456" t="s">
        <v>271</v>
      </c>
      <c r="N59" s="456"/>
      <c r="O59" s="456"/>
      <c r="P59" s="12"/>
      <c r="Q59" s="84"/>
    </row>
    <row r="60" spans="3:17" ht="19.5" customHeight="1">
      <c r="C60" s="447" t="s">
        <v>139</v>
      </c>
      <c r="D60" s="448"/>
      <c r="E60" s="449"/>
      <c r="F60" s="455" t="s">
        <v>265</v>
      </c>
      <c r="G60" s="453"/>
      <c r="H60" s="388" t="s">
        <v>254</v>
      </c>
      <c r="I60" s="388"/>
      <c r="J60" s="388"/>
      <c r="K60" s="388"/>
      <c r="L60" s="388"/>
      <c r="M60" s="388"/>
      <c r="N60" s="388"/>
      <c r="O60" s="388"/>
      <c r="P60" s="388"/>
      <c r="Q60" s="389"/>
    </row>
    <row r="61" spans="3:17" ht="30.75" customHeight="1">
      <c r="C61" s="457"/>
      <c r="D61" s="458"/>
      <c r="E61" s="459"/>
      <c r="F61" s="455" t="s">
        <v>265</v>
      </c>
      <c r="G61" s="453"/>
      <c r="H61" s="388" t="s">
        <v>71</v>
      </c>
      <c r="I61" s="388"/>
      <c r="J61" s="388"/>
      <c r="K61" s="388"/>
      <c r="L61" s="388"/>
      <c r="M61" s="388"/>
      <c r="N61" s="388"/>
      <c r="O61" s="388"/>
      <c r="P61" s="388"/>
      <c r="Q61" s="389"/>
    </row>
    <row r="62" spans="3:17" ht="20.100000000000001" customHeight="1">
      <c r="C62" s="450"/>
      <c r="D62" s="451"/>
      <c r="E62" s="452"/>
      <c r="F62" s="455" t="s">
        <v>265</v>
      </c>
      <c r="G62" s="453"/>
      <c r="H62" s="388" t="s">
        <v>166</v>
      </c>
      <c r="I62" s="388"/>
      <c r="J62" s="388"/>
      <c r="K62" s="388"/>
      <c r="L62" s="388"/>
      <c r="M62" s="388"/>
      <c r="N62" s="388"/>
      <c r="O62" s="388"/>
      <c r="P62" s="388"/>
      <c r="Q62" s="389"/>
    </row>
    <row r="63" spans="3:17" ht="20.100000000000001" customHeight="1">
      <c r="C63" s="447" t="s">
        <v>329</v>
      </c>
      <c r="D63" s="448"/>
      <c r="E63" s="449"/>
      <c r="F63" s="453" t="s">
        <v>265</v>
      </c>
      <c r="G63" s="454"/>
      <c r="H63" s="184" t="s">
        <v>330</v>
      </c>
      <c r="I63" s="184"/>
      <c r="J63" s="184"/>
      <c r="K63" s="184"/>
      <c r="L63" s="184"/>
      <c r="M63" s="184"/>
      <c r="N63" s="184"/>
      <c r="O63" s="184"/>
      <c r="P63" s="184"/>
      <c r="Q63" s="185"/>
    </row>
    <row r="64" spans="3:17" ht="20.100000000000001" customHeight="1">
      <c r="C64" s="450"/>
      <c r="D64" s="451"/>
      <c r="E64" s="452"/>
      <c r="F64" s="453" t="s">
        <v>265</v>
      </c>
      <c r="G64" s="454"/>
      <c r="H64" s="184" t="s">
        <v>331</v>
      </c>
      <c r="I64" s="184"/>
      <c r="J64" s="184"/>
      <c r="K64" s="184"/>
      <c r="L64" s="184"/>
      <c r="M64" s="184"/>
      <c r="N64" s="184"/>
      <c r="O64" s="184"/>
      <c r="P64" s="184"/>
      <c r="Q64" s="185"/>
    </row>
    <row r="65" spans="2:22" ht="20.100000000000001" customHeight="1">
      <c r="C65" s="367" t="s">
        <v>127</v>
      </c>
      <c r="D65" s="368"/>
      <c r="E65" s="368"/>
      <c r="F65" s="455" t="s">
        <v>265</v>
      </c>
      <c r="G65" s="453"/>
      <c r="H65" s="388" t="s">
        <v>70</v>
      </c>
      <c r="I65" s="388"/>
      <c r="J65" s="388"/>
      <c r="K65" s="388"/>
      <c r="L65" s="388"/>
      <c r="M65" s="388"/>
      <c r="N65" s="388"/>
      <c r="O65" s="388"/>
      <c r="P65" s="388"/>
      <c r="Q65" s="389"/>
    </row>
    <row r="66" spans="2:22" ht="20.100000000000001" customHeight="1">
      <c r="C66" s="367"/>
      <c r="D66" s="368"/>
      <c r="E66" s="368"/>
      <c r="F66" s="455" t="s">
        <v>265</v>
      </c>
      <c r="G66" s="453"/>
      <c r="H66" s="388" t="s">
        <v>488</v>
      </c>
      <c r="I66" s="388"/>
      <c r="J66" s="388"/>
      <c r="K66" s="388"/>
      <c r="L66" s="388"/>
      <c r="M66" s="388"/>
      <c r="N66" s="388"/>
      <c r="O66" s="388"/>
      <c r="P66" s="388"/>
      <c r="Q66" s="389"/>
    </row>
    <row r="67" spans="2:22" ht="20.100000000000001" customHeight="1">
      <c r="C67" s="367"/>
      <c r="D67" s="368"/>
      <c r="E67" s="368"/>
      <c r="F67" s="455" t="s">
        <v>265</v>
      </c>
      <c r="G67" s="453"/>
      <c r="H67" s="388" t="s">
        <v>71</v>
      </c>
      <c r="I67" s="388"/>
      <c r="J67" s="388"/>
      <c r="K67" s="388"/>
      <c r="L67" s="388"/>
      <c r="M67" s="388"/>
      <c r="N67" s="388"/>
      <c r="O67" s="388"/>
      <c r="P67" s="388"/>
      <c r="Q67" s="389"/>
    </row>
    <row r="68" spans="2:22" ht="20.100000000000001" customHeight="1">
      <c r="C68" s="193"/>
      <c r="D68" s="193"/>
      <c r="E68" s="193"/>
      <c r="F68" s="90"/>
      <c r="G68" s="90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22" ht="16.5" customHeight="1">
      <c r="B69" s="19" t="s">
        <v>284</v>
      </c>
    </row>
    <row r="70" spans="2:22" ht="3" customHeight="1">
      <c r="B70" s="19"/>
    </row>
    <row r="71" spans="2:22" ht="20.100000000000001" customHeight="1">
      <c r="B71" s="19"/>
      <c r="C71" s="19" t="s">
        <v>127</v>
      </c>
    </row>
    <row r="72" spans="2:22" ht="14.25" customHeight="1">
      <c r="B72" s="19"/>
      <c r="C72" s="370" t="s">
        <v>171</v>
      </c>
      <c r="D72" s="445"/>
      <c r="E72" s="371"/>
      <c r="F72" s="363" t="s">
        <v>173</v>
      </c>
      <c r="G72" s="363"/>
      <c r="H72" s="363"/>
      <c r="I72" s="363"/>
      <c r="J72" s="363"/>
      <c r="K72" s="363"/>
      <c r="L72" s="363"/>
      <c r="M72" s="363" t="s">
        <v>514</v>
      </c>
      <c r="N72" s="363"/>
      <c r="O72" s="363"/>
      <c r="P72" s="363"/>
      <c r="Q72" s="363"/>
      <c r="R72" s="363"/>
      <c r="S72" s="2"/>
      <c r="T72" s="2"/>
    </row>
    <row r="73" spans="2:22" ht="20.100000000000001" customHeight="1">
      <c r="B73" s="19"/>
      <c r="C73" s="372"/>
      <c r="D73" s="446"/>
      <c r="E73" s="373"/>
      <c r="F73" s="363" t="s">
        <v>175</v>
      </c>
      <c r="G73" s="363"/>
      <c r="H73" s="363" t="s">
        <v>174</v>
      </c>
      <c r="I73" s="363"/>
      <c r="J73" s="254" t="s">
        <v>515</v>
      </c>
      <c r="K73" s="363" t="s">
        <v>516</v>
      </c>
      <c r="L73" s="363"/>
      <c r="M73" s="363" t="s">
        <v>176</v>
      </c>
      <c r="N73" s="363"/>
      <c r="O73" s="363" t="s">
        <v>172</v>
      </c>
      <c r="P73" s="363"/>
      <c r="Q73" s="363"/>
      <c r="R73" s="363"/>
    </row>
    <row r="74" spans="2:22" ht="20.100000000000001" customHeight="1">
      <c r="B74" s="19"/>
      <c r="C74" s="356"/>
      <c r="D74" s="361"/>
      <c r="E74" s="357"/>
      <c r="F74" s="360"/>
      <c r="G74" s="360"/>
      <c r="H74" s="360"/>
      <c r="I74" s="360"/>
      <c r="J74" s="253"/>
      <c r="K74" s="356"/>
      <c r="L74" s="357"/>
      <c r="M74" s="360"/>
      <c r="N74" s="360"/>
      <c r="O74" s="360"/>
      <c r="P74" s="360"/>
      <c r="Q74" s="360"/>
      <c r="R74" s="360"/>
      <c r="U74" s="2"/>
      <c r="V74" s="2"/>
    </row>
    <row r="75" spans="2:22" ht="20.100000000000001" customHeight="1">
      <c r="B75" s="19"/>
      <c r="C75" s="356"/>
      <c r="D75" s="361"/>
      <c r="E75" s="357"/>
      <c r="F75" s="356"/>
      <c r="G75" s="357"/>
      <c r="H75" s="356"/>
      <c r="I75" s="357"/>
      <c r="J75" s="253"/>
      <c r="K75" s="356"/>
      <c r="L75" s="357"/>
      <c r="M75" s="360"/>
      <c r="N75" s="360"/>
      <c r="O75" s="360"/>
      <c r="P75" s="360"/>
      <c r="Q75" s="360"/>
      <c r="R75" s="360"/>
      <c r="U75" s="2"/>
      <c r="V75" s="2"/>
    </row>
    <row r="76" spans="2:22" ht="20.100000000000001" customHeight="1">
      <c r="B76" s="19"/>
      <c r="C76" s="356"/>
      <c r="D76" s="361"/>
      <c r="E76" s="357"/>
      <c r="F76" s="356"/>
      <c r="G76" s="357"/>
      <c r="H76" s="356"/>
      <c r="I76" s="357"/>
      <c r="J76" s="253"/>
      <c r="K76" s="443"/>
      <c r="L76" s="444"/>
      <c r="M76" s="360"/>
      <c r="N76" s="360"/>
      <c r="O76" s="360"/>
      <c r="P76" s="360"/>
      <c r="Q76" s="360"/>
      <c r="R76" s="360"/>
      <c r="U76" s="2"/>
      <c r="V76" s="2"/>
    </row>
    <row r="78" spans="2:22" ht="20.100000000000001" customHeight="1">
      <c r="C78" s="22" t="s">
        <v>153</v>
      </c>
      <c r="D78" s="22"/>
      <c r="E78" s="22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2:22" ht="14.25" customHeight="1">
      <c r="C79" s="363" t="s">
        <v>154</v>
      </c>
      <c r="D79" s="363"/>
      <c r="E79" s="363"/>
      <c r="F79" s="363" t="s">
        <v>155</v>
      </c>
      <c r="G79" s="363"/>
      <c r="H79" s="363"/>
      <c r="I79" s="363"/>
      <c r="J79" s="363" t="s">
        <v>156</v>
      </c>
      <c r="K79" s="363"/>
      <c r="L79" s="363" t="s">
        <v>157</v>
      </c>
      <c r="M79" s="363"/>
      <c r="N79" s="363" t="s">
        <v>28</v>
      </c>
      <c r="O79" s="363"/>
      <c r="P79" s="363"/>
      <c r="Q79" s="363"/>
    </row>
    <row r="80" spans="2:22" ht="20.100000000000001" customHeight="1"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3"/>
      <c r="O80" s="363"/>
      <c r="P80" s="363"/>
      <c r="Q80" s="363"/>
    </row>
    <row r="81" spans="3:17" ht="20.100000000000001" customHeight="1"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3"/>
      <c r="O81" s="363"/>
      <c r="P81" s="363"/>
      <c r="Q81" s="363"/>
    </row>
    <row r="82" spans="3:17" ht="20.100000000000001" customHeight="1"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3"/>
      <c r="O82" s="363"/>
      <c r="P82" s="363"/>
      <c r="Q82" s="363"/>
    </row>
    <row r="83" spans="3:17" ht="20.100000000000001" customHeight="1"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3"/>
      <c r="O83" s="363"/>
      <c r="P83" s="363"/>
      <c r="Q83" s="363"/>
    </row>
    <row r="84" spans="3:17" ht="20.100000000000001" customHeight="1"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3"/>
      <c r="O84" s="363"/>
      <c r="P84" s="363"/>
      <c r="Q84" s="363"/>
    </row>
    <row r="85" spans="3:17" ht="20.100000000000001" customHeight="1"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3"/>
      <c r="O85" s="363"/>
      <c r="P85" s="363"/>
      <c r="Q85" s="363"/>
    </row>
    <row r="86" spans="3:17" ht="20.100000000000001" customHeight="1">
      <c r="C86" s="360"/>
      <c r="D86" s="360"/>
      <c r="E86" s="360"/>
      <c r="F86" s="356"/>
      <c r="G86" s="361"/>
      <c r="H86" s="361"/>
      <c r="I86" s="357"/>
      <c r="J86" s="360"/>
      <c r="K86" s="360"/>
      <c r="L86" s="360"/>
      <c r="M86" s="360"/>
      <c r="N86" s="363"/>
      <c r="O86" s="363"/>
      <c r="P86" s="363"/>
      <c r="Q86" s="363"/>
    </row>
    <row r="87" spans="3:17" ht="20.100000000000001" customHeight="1">
      <c r="C87" s="360"/>
      <c r="D87" s="360"/>
      <c r="E87" s="360"/>
      <c r="F87" s="356"/>
      <c r="G87" s="361"/>
      <c r="H87" s="361"/>
      <c r="I87" s="357"/>
      <c r="J87" s="360"/>
      <c r="K87" s="360"/>
      <c r="L87" s="360"/>
      <c r="M87" s="360"/>
      <c r="N87" s="363"/>
      <c r="O87" s="363"/>
      <c r="P87" s="363"/>
      <c r="Q87" s="363"/>
    </row>
    <row r="88" spans="3:17" ht="20.100000000000001" customHeight="1">
      <c r="C88" s="360"/>
      <c r="D88" s="360"/>
      <c r="E88" s="360"/>
      <c r="F88" s="356"/>
      <c r="G88" s="361"/>
      <c r="H88" s="361"/>
      <c r="I88" s="357"/>
      <c r="J88" s="360"/>
      <c r="K88" s="360"/>
      <c r="L88" s="360"/>
      <c r="M88" s="360"/>
      <c r="N88" s="363"/>
      <c r="O88" s="363"/>
      <c r="P88" s="363"/>
      <c r="Q88" s="363"/>
    </row>
    <row r="89" spans="3:17" ht="20.100000000000001" customHeight="1">
      <c r="C89" s="360"/>
      <c r="D89" s="360"/>
      <c r="E89" s="360"/>
      <c r="F89" s="356"/>
      <c r="G89" s="361"/>
      <c r="H89" s="361"/>
      <c r="I89" s="357"/>
      <c r="J89" s="360"/>
      <c r="K89" s="360"/>
      <c r="L89" s="360"/>
      <c r="M89" s="360"/>
      <c r="N89" s="363"/>
      <c r="O89" s="363"/>
      <c r="P89" s="363"/>
      <c r="Q89" s="363"/>
    </row>
    <row r="90" spans="3:17" ht="20.100000000000001" customHeight="1">
      <c r="C90" s="360"/>
      <c r="D90" s="360"/>
      <c r="E90" s="360"/>
      <c r="F90" s="356"/>
      <c r="G90" s="361"/>
      <c r="H90" s="361"/>
      <c r="I90" s="357"/>
      <c r="J90" s="360"/>
      <c r="K90" s="360"/>
      <c r="L90" s="360"/>
      <c r="M90" s="360"/>
      <c r="N90" s="363"/>
      <c r="O90" s="363"/>
      <c r="P90" s="363"/>
      <c r="Q90" s="363"/>
    </row>
    <row r="91" spans="3:17" ht="20.100000000000001" customHeight="1"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3"/>
      <c r="O91" s="363"/>
      <c r="P91" s="363"/>
      <c r="Q91" s="363"/>
    </row>
    <row r="92" spans="3:17" ht="20.100000000000001" customHeight="1"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3"/>
      <c r="O92" s="363"/>
      <c r="P92" s="363"/>
      <c r="Q92" s="363"/>
    </row>
    <row r="93" spans="3:17" ht="20.100000000000001" customHeight="1"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3"/>
      <c r="O93" s="363"/>
      <c r="P93" s="363"/>
      <c r="Q93" s="363"/>
    </row>
    <row r="94" spans="3:17" ht="20.100000000000001" customHeight="1"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3"/>
      <c r="O94" s="363"/>
      <c r="P94" s="363"/>
      <c r="Q94" s="363"/>
    </row>
    <row r="95" spans="3:17" ht="20.100000000000001" customHeight="1"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3"/>
      <c r="O95" s="363"/>
      <c r="P95" s="363"/>
      <c r="Q95" s="363"/>
    </row>
    <row r="96" spans="3:17" ht="20.100000000000001" customHeight="1">
      <c r="C96" s="360"/>
      <c r="D96" s="360"/>
      <c r="E96" s="360"/>
      <c r="F96" s="360"/>
      <c r="G96" s="360"/>
      <c r="H96" s="360"/>
      <c r="I96" s="360"/>
      <c r="J96" s="360"/>
      <c r="K96" s="360"/>
      <c r="L96" s="360"/>
      <c r="M96" s="360"/>
      <c r="N96" s="363"/>
      <c r="O96" s="363"/>
      <c r="P96" s="363"/>
      <c r="Q96" s="363"/>
    </row>
    <row r="97" spans="3:23" ht="20.100000000000001" customHeight="1">
      <c r="C97" s="356"/>
      <c r="D97" s="361"/>
      <c r="E97" s="357"/>
      <c r="F97" s="356"/>
      <c r="G97" s="361"/>
      <c r="H97" s="361"/>
      <c r="I97" s="357"/>
      <c r="J97" s="356"/>
      <c r="K97" s="357"/>
      <c r="L97" s="356"/>
      <c r="M97" s="357"/>
      <c r="N97" s="367"/>
      <c r="O97" s="368"/>
      <c r="P97" s="368"/>
      <c r="Q97" s="369"/>
    </row>
    <row r="98" spans="3:23" ht="20.100000000000001" customHeight="1">
      <c r="C98" s="356"/>
      <c r="D98" s="361"/>
      <c r="E98" s="357"/>
      <c r="F98" s="356"/>
      <c r="G98" s="361"/>
      <c r="H98" s="361"/>
      <c r="I98" s="357"/>
      <c r="J98" s="356"/>
      <c r="K98" s="357"/>
      <c r="L98" s="356"/>
      <c r="M98" s="357"/>
      <c r="N98" s="367"/>
      <c r="O98" s="368"/>
      <c r="P98" s="368"/>
      <c r="Q98" s="369"/>
    </row>
    <row r="99" spans="3:23" ht="20.100000000000001" customHeight="1">
      <c r="C99" s="193"/>
      <c r="D99" s="193"/>
      <c r="E99" s="19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</row>
    <row r="100" spans="3:23" ht="20.100000000000001" customHeight="1">
      <c r="C100" s="442"/>
      <c r="D100" s="442"/>
      <c r="E100" s="442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8"/>
      <c r="Q100" s="348"/>
    </row>
    <row r="101" spans="3:23" ht="20.100000000000001" customHeight="1">
      <c r="C101" s="439" t="s">
        <v>159</v>
      </c>
      <c r="D101" s="439"/>
      <c r="E101" s="439"/>
      <c r="F101" s="441"/>
      <c r="G101" s="441"/>
      <c r="H101" s="441"/>
      <c r="I101" s="441"/>
      <c r="J101" s="348"/>
      <c r="K101" s="348"/>
      <c r="L101" s="348"/>
      <c r="M101" s="348"/>
      <c r="N101" s="348"/>
      <c r="O101" s="348"/>
      <c r="P101" s="348"/>
      <c r="Q101" s="348"/>
    </row>
    <row r="102" spans="3:23" ht="14.25" customHeight="1">
      <c r="C102" s="363" t="s">
        <v>154</v>
      </c>
      <c r="D102" s="363"/>
      <c r="E102" s="363"/>
      <c r="F102" s="367" t="s">
        <v>163</v>
      </c>
      <c r="G102" s="368"/>
      <c r="H102" s="368"/>
      <c r="I102" s="368"/>
      <c r="J102" s="368"/>
      <c r="K102" s="368"/>
      <c r="L102" s="368"/>
      <c r="M102" s="369"/>
    </row>
    <row r="103" spans="3:23" ht="20.100000000000001" customHeight="1">
      <c r="C103" s="360"/>
      <c r="D103" s="360"/>
      <c r="E103" s="360"/>
      <c r="F103" s="356"/>
      <c r="G103" s="361"/>
      <c r="H103" s="361"/>
      <c r="I103" s="361"/>
      <c r="J103" s="361"/>
      <c r="K103" s="361"/>
      <c r="L103" s="361"/>
      <c r="M103" s="357"/>
    </row>
    <row r="104" spans="3:23" ht="20.100000000000001" customHeight="1">
      <c r="C104" s="360"/>
      <c r="D104" s="360"/>
      <c r="E104" s="360"/>
      <c r="F104" s="356"/>
      <c r="G104" s="361"/>
      <c r="H104" s="361"/>
      <c r="I104" s="361"/>
      <c r="J104" s="361"/>
      <c r="K104" s="361"/>
      <c r="L104" s="361"/>
      <c r="M104" s="357"/>
    </row>
    <row r="105" spans="3:23" ht="20.100000000000001" customHeight="1">
      <c r="C105" s="360"/>
      <c r="D105" s="360"/>
      <c r="E105" s="360"/>
      <c r="F105" s="356"/>
      <c r="G105" s="361"/>
      <c r="H105" s="361"/>
      <c r="I105" s="361"/>
      <c r="J105" s="361"/>
      <c r="K105" s="361"/>
      <c r="L105" s="361"/>
      <c r="M105" s="357"/>
    </row>
    <row r="106" spans="3:23" ht="20.100000000000001" customHeight="1">
      <c r="C106" s="360"/>
      <c r="D106" s="360"/>
      <c r="E106" s="360"/>
      <c r="F106" s="356"/>
      <c r="G106" s="361"/>
      <c r="H106" s="361"/>
      <c r="I106" s="361"/>
      <c r="J106" s="361"/>
      <c r="K106" s="361"/>
      <c r="L106" s="361"/>
      <c r="M106" s="357"/>
    </row>
    <row r="107" spans="3:23" ht="20.100000000000001" customHeight="1">
      <c r="C107" s="360"/>
      <c r="D107" s="360"/>
      <c r="E107" s="360"/>
      <c r="F107" s="356"/>
      <c r="G107" s="361"/>
      <c r="H107" s="361"/>
      <c r="I107" s="361"/>
      <c r="J107" s="361"/>
      <c r="K107" s="361"/>
      <c r="L107" s="361"/>
      <c r="M107" s="357"/>
    </row>
    <row r="108" spans="3:23" ht="20.100000000000001" customHeight="1">
      <c r="C108" s="99"/>
      <c r="D108" s="99"/>
      <c r="E108" s="100"/>
      <c r="F108" s="100"/>
      <c r="G108" s="100"/>
      <c r="H108" s="100"/>
      <c r="I108" s="100"/>
      <c r="J108" s="100"/>
      <c r="K108" s="100"/>
      <c r="L108" s="100"/>
      <c r="M108" s="100"/>
    </row>
    <row r="109" spans="3:23" ht="20.100000000000001" customHeight="1">
      <c r="C109" s="439" t="s">
        <v>1</v>
      </c>
      <c r="D109" s="439"/>
      <c r="E109" s="439"/>
    </row>
    <row r="110" spans="3:23" ht="14.25" customHeight="1">
      <c r="C110" s="363" t="s">
        <v>154</v>
      </c>
      <c r="D110" s="363"/>
      <c r="E110" s="363"/>
      <c r="F110" s="363" t="s">
        <v>160</v>
      </c>
      <c r="G110" s="363"/>
      <c r="H110" s="363"/>
      <c r="I110" s="363"/>
      <c r="J110" s="363"/>
      <c r="K110" s="363"/>
      <c r="L110" s="363"/>
      <c r="M110" s="363"/>
    </row>
    <row r="111" spans="3:23" ht="20.100000000000001" customHeight="1">
      <c r="C111" s="360"/>
      <c r="D111" s="360"/>
      <c r="E111" s="360"/>
      <c r="F111" s="360"/>
      <c r="G111" s="360"/>
      <c r="H111" s="360"/>
      <c r="I111" s="360"/>
      <c r="J111" s="360"/>
      <c r="K111" s="360"/>
      <c r="L111" s="360"/>
      <c r="M111" s="360"/>
      <c r="W111" s="97"/>
    </row>
    <row r="112" spans="3:23" ht="20.100000000000001" customHeight="1">
      <c r="C112" s="360"/>
      <c r="D112" s="360"/>
      <c r="E112" s="360"/>
      <c r="F112" s="360"/>
      <c r="G112" s="360"/>
      <c r="H112" s="360"/>
      <c r="I112" s="360"/>
      <c r="J112" s="360"/>
      <c r="K112" s="360"/>
      <c r="L112" s="360"/>
      <c r="M112" s="360"/>
    </row>
    <row r="113" spans="3:14" ht="20.100000000000001" customHeight="1">
      <c r="C113" s="360"/>
      <c r="D113" s="360"/>
      <c r="E113" s="360"/>
      <c r="F113" s="360"/>
      <c r="G113" s="360"/>
      <c r="H113" s="360"/>
      <c r="I113" s="360"/>
      <c r="J113" s="360"/>
      <c r="K113" s="360"/>
      <c r="L113" s="360"/>
      <c r="M113" s="360"/>
    </row>
    <row r="114" spans="3:14" ht="20.100000000000001" customHeight="1">
      <c r="C114" s="360"/>
      <c r="D114" s="360"/>
      <c r="E114" s="360"/>
      <c r="F114" s="360"/>
      <c r="G114" s="360"/>
      <c r="H114" s="360"/>
      <c r="I114" s="360"/>
      <c r="J114" s="360"/>
      <c r="K114" s="360"/>
      <c r="L114" s="360"/>
      <c r="M114" s="360"/>
    </row>
    <row r="115" spans="3:14" ht="20.100000000000001" customHeight="1">
      <c r="C115" s="360"/>
      <c r="D115" s="360"/>
      <c r="E115" s="360"/>
      <c r="F115" s="360"/>
      <c r="G115" s="360"/>
      <c r="H115" s="360"/>
      <c r="I115" s="360"/>
      <c r="J115" s="360"/>
      <c r="K115" s="360"/>
      <c r="L115" s="360"/>
      <c r="M115" s="360"/>
    </row>
    <row r="116" spans="3:14" ht="20.100000000000001" customHeight="1">
      <c r="C116" s="360"/>
      <c r="D116" s="360"/>
      <c r="E116" s="360"/>
      <c r="F116" s="360"/>
      <c r="G116" s="360"/>
      <c r="H116" s="360"/>
      <c r="I116" s="360"/>
      <c r="J116" s="360"/>
      <c r="K116" s="360"/>
      <c r="L116" s="360"/>
      <c r="M116" s="360"/>
    </row>
    <row r="117" spans="3:14" ht="20.100000000000001" customHeight="1">
      <c r="C117" s="360"/>
      <c r="D117" s="360"/>
      <c r="E117" s="360"/>
      <c r="F117" s="360"/>
      <c r="G117" s="360"/>
      <c r="H117" s="360"/>
      <c r="I117" s="360"/>
      <c r="J117" s="360"/>
      <c r="K117" s="360"/>
      <c r="L117" s="360"/>
      <c r="M117" s="360"/>
    </row>
    <row r="118" spans="3:14" ht="20.100000000000001" customHeight="1">
      <c r="C118" s="41"/>
      <c r="D118" s="41"/>
      <c r="E118" s="41"/>
      <c r="F118" s="186"/>
      <c r="G118" s="186"/>
      <c r="H118" s="186"/>
      <c r="I118" s="186"/>
      <c r="J118" s="186"/>
      <c r="K118" s="186"/>
      <c r="L118" s="186"/>
      <c r="M118" s="186"/>
      <c r="N118" s="39"/>
    </row>
    <row r="119" spans="3:14" ht="20.100000000000001" customHeight="1">
      <c r="C119" s="440"/>
      <c r="D119" s="440"/>
      <c r="E119" s="440"/>
      <c r="F119" s="377"/>
      <c r="G119" s="377"/>
      <c r="H119" s="377"/>
      <c r="I119" s="377"/>
      <c r="J119" s="377"/>
      <c r="K119" s="377"/>
      <c r="L119" s="377"/>
      <c r="M119" s="377"/>
      <c r="N119" s="39"/>
    </row>
    <row r="120" spans="3:14" ht="20.100000000000001" customHeight="1">
      <c r="C120" s="191" t="s">
        <v>177</v>
      </c>
      <c r="D120" s="191"/>
      <c r="E120" s="193"/>
      <c r="F120" s="183"/>
      <c r="G120" s="183"/>
      <c r="H120" s="183"/>
      <c r="I120" s="183"/>
      <c r="J120" s="183"/>
      <c r="K120" s="183"/>
      <c r="L120" s="183"/>
      <c r="M120" s="183"/>
    </row>
    <row r="121" spans="3:14" ht="19.5" customHeight="1">
      <c r="C121" s="363" t="s">
        <v>179</v>
      </c>
      <c r="D121" s="363"/>
      <c r="E121" s="363"/>
      <c r="F121" s="363" t="s">
        <v>178</v>
      </c>
      <c r="G121" s="363"/>
      <c r="H121" s="363"/>
      <c r="I121" s="363"/>
      <c r="J121" s="363"/>
      <c r="K121" s="183"/>
      <c r="L121" s="183"/>
      <c r="M121" s="183"/>
    </row>
    <row r="122" spans="3:14" ht="20.100000000000001" customHeight="1">
      <c r="C122" s="360"/>
      <c r="D122" s="360"/>
      <c r="E122" s="360"/>
      <c r="F122" s="356"/>
      <c r="G122" s="361"/>
      <c r="H122" s="361"/>
      <c r="I122" s="361"/>
      <c r="J122" s="357"/>
      <c r="K122" s="183"/>
      <c r="L122" s="183"/>
      <c r="M122" s="183"/>
    </row>
    <row r="123" spans="3:14" ht="20.100000000000001" customHeight="1">
      <c r="C123" s="360"/>
      <c r="D123" s="360"/>
      <c r="E123" s="360"/>
      <c r="F123" s="356"/>
      <c r="G123" s="361"/>
      <c r="H123" s="361"/>
      <c r="I123" s="361"/>
      <c r="J123" s="357"/>
      <c r="K123" s="183"/>
      <c r="L123" s="183"/>
      <c r="M123" s="183"/>
    </row>
    <row r="124" spans="3:14" ht="20.100000000000001" customHeight="1">
      <c r="C124" s="360"/>
      <c r="D124" s="360"/>
      <c r="E124" s="360"/>
      <c r="F124" s="356"/>
      <c r="G124" s="361"/>
      <c r="H124" s="361"/>
      <c r="I124" s="361"/>
      <c r="J124" s="357"/>
      <c r="K124" s="183"/>
      <c r="L124" s="183"/>
      <c r="M124" s="183"/>
    </row>
    <row r="125" spans="3:14" ht="20.100000000000001" customHeight="1">
      <c r="C125" s="193"/>
      <c r="D125" s="193"/>
      <c r="E125" s="193"/>
      <c r="F125" s="183"/>
      <c r="G125" s="183"/>
      <c r="H125" s="183"/>
      <c r="I125" s="183"/>
      <c r="J125" s="183"/>
      <c r="K125" s="183"/>
      <c r="L125" s="183"/>
      <c r="M125" s="183"/>
    </row>
    <row r="126" spans="3:14" ht="20.100000000000001" customHeight="1">
      <c r="C126" s="438" t="s">
        <v>164</v>
      </c>
      <c r="D126" s="438"/>
      <c r="E126" s="438"/>
    </row>
    <row r="127" spans="3:14" ht="20.100000000000001" customHeight="1">
      <c r="C127" s="363" t="s">
        <v>161</v>
      </c>
      <c r="D127" s="363"/>
      <c r="E127" s="363"/>
      <c r="F127" s="363" t="s">
        <v>162</v>
      </c>
      <c r="G127" s="363"/>
      <c r="H127" s="363"/>
      <c r="I127" s="363"/>
      <c r="J127" s="363"/>
      <c r="K127" s="363"/>
      <c r="L127" s="363"/>
      <c r="M127" s="363"/>
    </row>
    <row r="128" spans="3:14" ht="20.100000000000001" customHeight="1"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</row>
    <row r="129" spans="2:18" ht="20.100000000000001" customHeight="1">
      <c r="C129" s="360"/>
      <c r="D129" s="360"/>
      <c r="E129" s="360"/>
      <c r="F129" s="360"/>
      <c r="G129" s="360"/>
      <c r="H129" s="360"/>
      <c r="I129" s="360"/>
      <c r="J129" s="360"/>
      <c r="K129" s="360"/>
      <c r="L129" s="360"/>
      <c r="M129" s="360"/>
    </row>
    <row r="130" spans="2:18" ht="20.100000000000001" customHeight="1">
      <c r="C130" s="360"/>
      <c r="D130" s="360"/>
      <c r="E130" s="360"/>
      <c r="F130" s="360"/>
      <c r="G130" s="360"/>
      <c r="H130" s="360"/>
      <c r="I130" s="360"/>
      <c r="J130" s="360"/>
      <c r="K130" s="360"/>
      <c r="L130" s="360"/>
      <c r="M130" s="360"/>
    </row>
    <row r="131" spans="2:18" ht="20.100000000000001" customHeight="1">
      <c r="C131" s="192"/>
      <c r="D131" s="192"/>
      <c r="E131" s="194"/>
    </row>
    <row r="132" spans="2:18" ht="20.100000000000001" customHeight="1">
      <c r="C132" s="439" t="s">
        <v>165</v>
      </c>
      <c r="D132" s="439"/>
      <c r="E132" s="439"/>
      <c r="F132" s="439"/>
    </row>
    <row r="133" spans="2:18" ht="20.100000000000001" customHeight="1">
      <c r="C133" s="363" t="s">
        <v>161</v>
      </c>
      <c r="D133" s="363"/>
      <c r="E133" s="363"/>
      <c r="F133" s="363" t="s">
        <v>162</v>
      </c>
      <c r="G133" s="363"/>
      <c r="H133" s="363"/>
      <c r="I133" s="363"/>
      <c r="J133" s="375"/>
      <c r="K133" s="377"/>
      <c r="L133" s="377"/>
      <c r="M133" s="377"/>
    </row>
    <row r="134" spans="2:18" ht="20.100000000000001" customHeight="1">
      <c r="C134" s="360"/>
      <c r="D134" s="360"/>
      <c r="E134" s="360"/>
      <c r="F134" s="360"/>
      <c r="G134" s="360"/>
      <c r="H134" s="360"/>
      <c r="I134" s="360"/>
      <c r="J134" s="375"/>
      <c r="K134" s="377"/>
      <c r="L134" s="377"/>
      <c r="M134" s="377"/>
    </row>
    <row r="135" spans="2:18" ht="20.100000000000001" customHeight="1">
      <c r="C135" s="360"/>
      <c r="D135" s="360"/>
      <c r="E135" s="360"/>
      <c r="F135" s="360"/>
      <c r="G135" s="360"/>
      <c r="H135" s="360"/>
      <c r="I135" s="360"/>
    </row>
    <row r="136" spans="2:18" ht="20.100000000000001" customHeight="1">
      <c r="C136" s="360"/>
      <c r="D136" s="360"/>
      <c r="E136" s="360"/>
      <c r="F136" s="360"/>
      <c r="G136" s="360"/>
      <c r="H136" s="360"/>
      <c r="I136" s="360"/>
    </row>
    <row r="138" spans="2:18" ht="20.100000000000001" customHeight="1">
      <c r="B138" s="19" t="s">
        <v>518</v>
      </c>
      <c r="D138" s="256"/>
      <c r="E138" s="256"/>
      <c r="F138" s="256"/>
    </row>
    <row r="139" spans="2:18" ht="20.100000000000001" customHeight="1">
      <c r="B139" s="256"/>
      <c r="C139" s="256"/>
      <c r="D139" s="256"/>
      <c r="E139" s="256"/>
      <c r="F139" s="256"/>
      <c r="G139" s="219"/>
      <c r="H139" s="219"/>
      <c r="I139" s="219"/>
      <c r="J139" s="219"/>
      <c r="K139" s="219"/>
    </row>
    <row r="140" spans="2:18" ht="20.100000000000001" customHeight="1">
      <c r="B140" s="489" t="s">
        <v>517</v>
      </c>
      <c r="C140" s="489"/>
      <c r="D140" s="489"/>
      <c r="E140" s="489"/>
      <c r="F140" s="489"/>
      <c r="G140" s="489"/>
      <c r="H140" s="489"/>
      <c r="I140" s="489"/>
      <c r="J140" s="489"/>
      <c r="K140" s="489"/>
      <c r="L140" s="489"/>
      <c r="M140" s="489"/>
      <c r="N140" s="489"/>
      <c r="O140" s="489"/>
      <c r="P140" s="489"/>
      <c r="Q140" s="489"/>
      <c r="R140" s="489"/>
    </row>
    <row r="141" spans="2:18" ht="20.100000000000001" customHeight="1">
      <c r="B141" s="489"/>
      <c r="C141" s="489"/>
      <c r="D141" s="489"/>
      <c r="E141" s="489"/>
      <c r="F141" s="489"/>
      <c r="G141" s="489"/>
      <c r="H141" s="489"/>
      <c r="I141" s="489"/>
      <c r="J141" s="489"/>
      <c r="K141" s="489"/>
      <c r="L141" s="489"/>
      <c r="M141" s="489"/>
      <c r="N141" s="489"/>
      <c r="O141" s="489"/>
      <c r="P141" s="489"/>
      <c r="Q141" s="489"/>
      <c r="R141" s="489"/>
    </row>
    <row r="142" spans="2:18" ht="20.100000000000001" customHeight="1">
      <c r="B142" s="489"/>
      <c r="C142" s="489"/>
      <c r="D142" s="489"/>
      <c r="E142" s="489"/>
      <c r="F142" s="489"/>
      <c r="G142" s="489"/>
      <c r="H142" s="489"/>
      <c r="I142" s="489"/>
      <c r="J142" s="489"/>
      <c r="K142" s="489"/>
      <c r="L142" s="489"/>
      <c r="M142" s="489"/>
      <c r="N142" s="489"/>
      <c r="O142" s="489"/>
      <c r="P142" s="489"/>
      <c r="Q142" s="489"/>
      <c r="R142" s="489"/>
    </row>
  </sheetData>
  <sheetProtection insertRows="0" deleteRows="0" selectLockedCells="1"/>
  <mergeCells count="354">
    <mergeCell ref="B140:R142"/>
    <mergeCell ref="C7:E7"/>
    <mergeCell ref="N7:O7"/>
    <mergeCell ref="P7:Q7"/>
    <mergeCell ref="C8:E8"/>
    <mergeCell ref="N8:O8"/>
    <mergeCell ref="P8:Q8"/>
    <mergeCell ref="P3:Q3"/>
    <mergeCell ref="C4:E5"/>
    <mergeCell ref="N4:O5"/>
    <mergeCell ref="P4:Q5"/>
    <mergeCell ref="C6:E6"/>
    <mergeCell ref="N6:O6"/>
    <mergeCell ref="P6:Q6"/>
    <mergeCell ref="C3:E3"/>
    <mergeCell ref="F3:M3"/>
    <mergeCell ref="N3:O3"/>
    <mergeCell ref="C11:E11"/>
    <mergeCell ref="N11:O11"/>
    <mergeCell ref="P11:Q11"/>
    <mergeCell ref="C12:E12"/>
    <mergeCell ref="N12:O12"/>
    <mergeCell ref="P12:Q12"/>
    <mergeCell ref="C9:E9"/>
    <mergeCell ref="N9:O9"/>
    <mergeCell ref="P9:Q9"/>
    <mergeCell ref="C10:E10"/>
    <mergeCell ref="N10:O10"/>
    <mergeCell ref="P10:Q10"/>
    <mergeCell ref="C15:E15"/>
    <mergeCell ref="N15:O15"/>
    <mergeCell ref="P15:Q15"/>
    <mergeCell ref="C16:E16"/>
    <mergeCell ref="N16:O16"/>
    <mergeCell ref="P16:Q16"/>
    <mergeCell ref="C13:E13"/>
    <mergeCell ref="N13:O13"/>
    <mergeCell ref="P13:Q13"/>
    <mergeCell ref="C14:E14"/>
    <mergeCell ref="N14:O14"/>
    <mergeCell ref="P14:Q14"/>
    <mergeCell ref="C20:E20"/>
    <mergeCell ref="N20:O20"/>
    <mergeCell ref="P20:Q20"/>
    <mergeCell ref="C23:E23"/>
    <mergeCell ref="F23:K23"/>
    <mergeCell ref="L23:P23"/>
    <mergeCell ref="Q23:R23"/>
    <mergeCell ref="C17:E18"/>
    <mergeCell ref="N17:O17"/>
    <mergeCell ref="P17:Q17"/>
    <mergeCell ref="N18:O18"/>
    <mergeCell ref="P18:Q18"/>
    <mergeCell ref="C19:E19"/>
    <mergeCell ref="N19:O19"/>
    <mergeCell ref="P19:Q19"/>
    <mergeCell ref="C24:E24"/>
    <mergeCell ref="F24:K24"/>
    <mergeCell ref="L24:M24"/>
    <mergeCell ref="N24:P24"/>
    <mergeCell ref="Q24:R24"/>
    <mergeCell ref="C25:E27"/>
    <mergeCell ref="F25:K25"/>
    <mergeCell ref="L25:P25"/>
    <mergeCell ref="Q25:R27"/>
    <mergeCell ref="F26:K26"/>
    <mergeCell ref="L26:M26"/>
    <mergeCell ref="N26:P26"/>
    <mergeCell ref="F27:K27"/>
    <mergeCell ref="L27:M27"/>
    <mergeCell ref="N27:P27"/>
    <mergeCell ref="C28:E29"/>
    <mergeCell ref="F28:K29"/>
    <mergeCell ref="L28:M28"/>
    <mergeCell ref="N28:P28"/>
    <mergeCell ref="C31:E31"/>
    <mergeCell ref="F31:K31"/>
    <mergeCell ref="L31:P31"/>
    <mergeCell ref="Q31:R31"/>
    <mergeCell ref="C32:E32"/>
    <mergeCell ref="F32:K32"/>
    <mergeCell ref="L32:P32"/>
    <mergeCell ref="Q32:R32"/>
    <mergeCell ref="Q28:R29"/>
    <mergeCell ref="L29:M29"/>
    <mergeCell ref="N29:P29"/>
    <mergeCell ref="C30:E30"/>
    <mergeCell ref="F30:K30"/>
    <mergeCell ref="L30:P30"/>
    <mergeCell ref="Q30:R30"/>
    <mergeCell ref="C33:R34"/>
    <mergeCell ref="C37:E37"/>
    <mergeCell ref="F37:Q37"/>
    <mergeCell ref="C38:E40"/>
    <mergeCell ref="F38:G38"/>
    <mergeCell ref="H38:Q38"/>
    <mergeCell ref="F39:G39"/>
    <mergeCell ref="H39:Q39"/>
    <mergeCell ref="F40:G40"/>
    <mergeCell ref="H40:Q40"/>
    <mergeCell ref="F45:G45"/>
    <mergeCell ref="H45:Q45"/>
    <mergeCell ref="C46:E46"/>
    <mergeCell ref="F46:G46"/>
    <mergeCell ref="M46:O46"/>
    <mergeCell ref="C47:E47"/>
    <mergeCell ref="F47:G47"/>
    <mergeCell ref="M47:O47"/>
    <mergeCell ref="C41:E42"/>
    <mergeCell ref="F41:G41"/>
    <mergeCell ref="H41:Q41"/>
    <mergeCell ref="F42:G42"/>
    <mergeCell ref="H42:Q42"/>
    <mergeCell ref="C43:E45"/>
    <mergeCell ref="F43:G43"/>
    <mergeCell ref="H43:Q43"/>
    <mergeCell ref="F44:G44"/>
    <mergeCell ref="H44:Q44"/>
    <mergeCell ref="C48:E49"/>
    <mergeCell ref="F48:G48"/>
    <mergeCell ref="F49:G49"/>
    <mergeCell ref="C50:E54"/>
    <mergeCell ref="F50:G50"/>
    <mergeCell ref="H50:Q50"/>
    <mergeCell ref="F51:G51"/>
    <mergeCell ref="H51:Q51"/>
    <mergeCell ref="F52:G54"/>
    <mergeCell ref="H52:J54"/>
    <mergeCell ref="C57:E58"/>
    <mergeCell ref="F57:G58"/>
    <mergeCell ref="H57:I58"/>
    <mergeCell ref="N57:O58"/>
    <mergeCell ref="P57:Q58"/>
    <mergeCell ref="K58:M58"/>
    <mergeCell ref="C55:E55"/>
    <mergeCell ref="F55:G55"/>
    <mergeCell ref="C56:E56"/>
    <mergeCell ref="F56:G56"/>
    <mergeCell ref="N55:Q55"/>
    <mergeCell ref="N56:Q56"/>
    <mergeCell ref="C59:E59"/>
    <mergeCell ref="F59:G59"/>
    <mergeCell ref="M59:O59"/>
    <mergeCell ref="C60:E62"/>
    <mergeCell ref="F60:G60"/>
    <mergeCell ref="H60:Q60"/>
    <mergeCell ref="F61:G61"/>
    <mergeCell ref="H61:Q61"/>
    <mergeCell ref="F62:G62"/>
    <mergeCell ref="H62:Q62"/>
    <mergeCell ref="C72:E73"/>
    <mergeCell ref="F73:G73"/>
    <mergeCell ref="H73:I73"/>
    <mergeCell ref="K73:L73"/>
    <mergeCell ref="C63:E64"/>
    <mergeCell ref="F63:G63"/>
    <mergeCell ref="F64:G64"/>
    <mergeCell ref="C65:E67"/>
    <mergeCell ref="F65:G65"/>
    <mergeCell ref="H65:Q65"/>
    <mergeCell ref="F66:G66"/>
    <mergeCell ref="H66:Q66"/>
    <mergeCell ref="F67:G67"/>
    <mergeCell ref="H67:Q67"/>
    <mergeCell ref="F72:L72"/>
    <mergeCell ref="M72:R72"/>
    <mergeCell ref="M73:N73"/>
    <mergeCell ref="O73:R73"/>
    <mergeCell ref="O74:R74"/>
    <mergeCell ref="M75:N75"/>
    <mergeCell ref="O75:R75"/>
    <mergeCell ref="C76:E76"/>
    <mergeCell ref="F76:G76"/>
    <mergeCell ref="H76:I76"/>
    <mergeCell ref="K76:L76"/>
    <mergeCell ref="C79:E79"/>
    <mergeCell ref="F79:I79"/>
    <mergeCell ref="J79:K79"/>
    <mergeCell ref="L79:M79"/>
    <mergeCell ref="N79:Q79"/>
    <mergeCell ref="M76:N76"/>
    <mergeCell ref="O76:R76"/>
    <mergeCell ref="C74:E74"/>
    <mergeCell ref="F74:G74"/>
    <mergeCell ref="H74:I74"/>
    <mergeCell ref="K74:L74"/>
    <mergeCell ref="C75:E75"/>
    <mergeCell ref="F75:G75"/>
    <mergeCell ref="H75:I75"/>
    <mergeCell ref="K75:L75"/>
    <mergeCell ref="M74:N74"/>
    <mergeCell ref="J89:K89"/>
    <mergeCell ref="L89:M89"/>
    <mergeCell ref="N89:Q89"/>
    <mergeCell ref="L86:M86"/>
    <mergeCell ref="N86:Q86"/>
    <mergeCell ref="F87:I87"/>
    <mergeCell ref="J87:K87"/>
    <mergeCell ref="L87:M87"/>
    <mergeCell ref="N87:Q87"/>
    <mergeCell ref="J91:K91"/>
    <mergeCell ref="L91:M91"/>
    <mergeCell ref="N91:Q91"/>
    <mergeCell ref="F90:I90"/>
    <mergeCell ref="J90:K90"/>
    <mergeCell ref="L90:M90"/>
    <mergeCell ref="C80:E80"/>
    <mergeCell ref="F80:I80"/>
    <mergeCell ref="J80:K80"/>
    <mergeCell ref="L80:M80"/>
    <mergeCell ref="N80:Q80"/>
    <mergeCell ref="C81:E81"/>
    <mergeCell ref="F81:I81"/>
    <mergeCell ref="J81:K81"/>
    <mergeCell ref="L81:M81"/>
    <mergeCell ref="N81:Q81"/>
    <mergeCell ref="L85:M85"/>
    <mergeCell ref="N85:Q85"/>
    <mergeCell ref="F86:I86"/>
    <mergeCell ref="F88:I88"/>
    <mergeCell ref="J88:K88"/>
    <mergeCell ref="L88:M88"/>
    <mergeCell ref="N88:Q88"/>
    <mergeCell ref="F89:I89"/>
    <mergeCell ref="J94:K94"/>
    <mergeCell ref="L94:M94"/>
    <mergeCell ref="N94:Q94"/>
    <mergeCell ref="C82:E82"/>
    <mergeCell ref="F82:I82"/>
    <mergeCell ref="J82:K82"/>
    <mergeCell ref="L82:M82"/>
    <mergeCell ref="N82:Q82"/>
    <mergeCell ref="F83:I83"/>
    <mergeCell ref="J83:K83"/>
    <mergeCell ref="L83:M83"/>
    <mergeCell ref="N83:Q83"/>
    <mergeCell ref="F84:I84"/>
    <mergeCell ref="J84:K84"/>
    <mergeCell ref="L84:M84"/>
    <mergeCell ref="N84:Q84"/>
    <mergeCell ref="F85:I85"/>
    <mergeCell ref="J85:K85"/>
    <mergeCell ref="N90:Q90"/>
    <mergeCell ref="C91:E91"/>
    <mergeCell ref="J86:K86"/>
    <mergeCell ref="L93:M93"/>
    <mergeCell ref="N93:Q93"/>
    <mergeCell ref="F91:I91"/>
    <mergeCell ref="F92:I92"/>
    <mergeCell ref="J92:K92"/>
    <mergeCell ref="L92:M92"/>
    <mergeCell ref="N92:Q92"/>
    <mergeCell ref="C93:E93"/>
    <mergeCell ref="F93:I93"/>
    <mergeCell ref="J93:K93"/>
    <mergeCell ref="C97:E97"/>
    <mergeCell ref="F97:I97"/>
    <mergeCell ref="J97:K97"/>
    <mergeCell ref="L97:M97"/>
    <mergeCell ref="N97:Q97"/>
    <mergeCell ref="C95:E95"/>
    <mergeCell ref="F95:I95"/>
    <mergeCell ref="J95:K95"/>
    <mergeCell ref="L95:M95"/>
    <mergeCell ref="N95:Q95"/>
    <mergeCell ref="C96:E96"/>
    <mergeCell ref="F96:I96"/>
    <mergeCell ref="J96:K96"/>
    <mergeCell ref="L96:M96"/>
    <mergeCell ref="N96:Q96"/>
    <mergeCell ref="C94:E94"/>
    <mergeCell ref="F94:I94"/>
    <mergeCell ref="F98:I98"/>
    <mergeCell ref="J98:K98"/>
    <mergeCell ref="L98:M98"/>
    <mergeCell ref="N98:Q98"/>
    <mergeCell ref="C100:E100"/>
    <mergeCell ref="F100:I100"/>
    <mergeCell ref="J100:K100"/>
    <mergeCell ref="L100:M100"/>
    <mergeCell ref="N100:Q100"/>
    <mergeCell ref="F103:M103"/>
    <mergeCell ref="C104:E104"/>
    <mergeCell ref="F104:M104"/>
    <mergeCell ref="C105:E105"/>
    <mergeCell ref="F105:M105"/>
    <mergeCell ref="C101:I101"/>
    <mergeCell ref="J101:K101"/>
    <mergeCell ref="L101:M101"/>
    <mergeCell ref="N101:Q101"/>
    <mergeCell ref="C102:E102"/>
    <mergeCell ref="F102:M102"/>
    <mergeCell ref="F111:M111"/>
    <mergeCell ref="C112:E112"/>
    <mergeCell ref="F112:M112"/>
    <mergeCell ref="C113:E113"/>
    <mergeCell ref="F113:M113"/>
    <mergeCell ref="C106:E106"/>
    <mergeCell ref="F106:M106"/>
    <mergeCell ref="C107:E107"/>
    <mergeCell ref="F107:M107"/>
    <mergeCell ref="C109:E109"/>
    <mergeCell ref="C110:E110"/>
    <mergeCell ref="F110:M110"/>
    <mergeCell ref="F117:M117"/>
    <mergeCell ref="C119:E119"/>
    <mergeCell ref="F119:M119"/>
    <mergeCell ref="C121:E121"/>
    <mergeCell ref="F121:J121"/>
    <mergeCell ref="C114:E114"/>
    <mergeCell ref="F114:M114"/>
    <mergeCell ref="C115:E115"/>
    <mergeCell ref="F115:M115"/>
    <mergeCell ref="C116:E116"/>
    <mergeCell ref="F116:M116"/>
    <mergeCell ref="F127:M127"/>
    <mergeCell ref="C128:E128"/>
    <mergeCell ref="F128:M128"/>
    <mergeCell ref="C129:E129"/>
    <mergeCell ref="F129:M129"/>
    <mergeCell ref="C122:E122"/>
    <mergeCell ref="F122:J122"/>
    <mergeCell ref="C123:E123"/>
    <mergeCell ref="F123:J123"/>
    <mergeCell ref="C124:E124"/>
    <mergeCell ref="F124:J124"/>
    <mergeCell ref="F134:I134"/>
    <mergeCell ref="J134:M134"/>
    <mergeCell ref="C135:E135"/>
    <mergeCell ref="F135:I135"/>
    <mergeCell ref="C136:E136"/>
    <mergeCell ref="F136:I136"/>
    <mergeCell ref="C130:E130"/>
    <mergeCell ref="F130:M130"/>
    <mergeCell ref="C132:F132"/>
    <mergeCell ref="C133:E133"/>
    <mergeCell ref="F133:I133"/>
    <mergeCell ref="J133:M133"/>
    <mergeCell ref="C83:E83"/>
    <mergeCell ref="C84:E84"/>
    <mergeCell ref="C85:E85"/>
    <mergeCell ref="C86:E86"/>
    <mergeCell ref="C87:E87"/>
    <mergeCell ref="C88:E88"/>
    <mergeCell ref="C89:E89"/>
    <mergeCell ref="C90:E90"/>
    <mergeCell ref="C134:E134"/>
    <mergeCell ref="C126:E126"/>
    <mergeCell ref="C127:E127"/>
    <mergeCell ref="C117:E117"/>
    <mergeCell ref="C111:E111"/>
    <mergeCell ref="C103:E103"/>
    <mergeCell ref="C98:E98"/>
    <mergeCell ref="C92:E92"/>
  </mergeCells>
  <phoneticPr fontId="1"/>
  <dataValidations count="4">
    <dataValidation type="list" allowBlank="1" showInputMessage="1" showErrorMessage="1" sqref="L25:P25" xr:uid="{00000000-0002-0000-0400-000000000000}">
      <formula1>"　,杉,その他"</formula1>
    </dataValidation>
    <dataValidation type="list" allowBlank="1" showInputMessage="1" showErrorMessage="1" sqref="L30:P32" xr:uid="{00000000-0002-0000-0400-000001000000}">
      <formula1>"　,「くまもと型設計法」,その他"</formula1>
    </dataValidation>
    <dataValidation type="list" allowBlank="1" showInputMessage="1" showErrorMessage="1" sqref="J57:J58 N57 F57 N4 P4 Q11:Q22 G65:G68 K52:K54 L46:L47 L59 G51 F51:F52 F55:G56 F38:G50 M55:M56 F59:F68 G59:G62 N11:P21 N6:Q13" xr:uid="{00000000-0002-0000-0400-000002000000}">
      <formula1>"□,■"</formula1>
    </dataValidation>
    <dataValidation type="list" allowBlank="1" showInputMessage="1" showErrorMessage="1" sqref="N29:P29" xr:uid="{00000000-0002-0000-0400-000003000000}">
      <formula1>"　,有,無"</formula1>
    </dataValidation>
  </dataValidations>
  <pageMargins left="0.7" right="0.7" top="0.75" bottom="0.75" header="0.3" footer="0.3"/>
  <pageSetup paperSize="9" orientation="portrait" horizontalDpi="300" verticalDpi="300"/>
  <rowBreaks count="3" manualBreakCount="3">
    <brk id="35" max="16383" man="1"/>
    <brk id="68" max="16383" man="1"/>
    <brk id="100" max="16383" man="1"/>
  </rowBreaks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64"/>
  <sheetViews>
    <sheetView workbookViewId="0">
      <selection activeCell="B1" sqref="B1"/>
    </sheetView>
  </sheetViews>
  <sheetFormatPr defaultColWidth="9" defaultRowHeight="20.100000000000001" customHeight="1"/>
  <cols>
    <col min="1" max="1" width="0.875" style="223" customWidth="1"/>
    <col min="2" max="2" width="9.75" style="223" customWidth="1"/>
    <col min="3" max="3" width="7" style="223" customWidth="1"/>
    <col min="4" max="4" width="7.625" style="223" customWidth="1"/>
    <col min="5" max="5" width="7.125" style="223" customWidth="1"/>
    <col min="6" max="6" width="7.625" style="223" customWidth="1"/>
    <col min="7" max="7" width="7.125" style="223" customWidth="1"/>
    <col min="8" max="8" width="10.625" style="223" customWidth="1"/>
    <col min="9" max="9" width="3.375" style="223" customWidth="1"/>
    <col min="10" max="10" width="8.5" style="224" bestFit="1" customWidth="1"/>
    <col min="11" max="11" width="6.375" style="225" bestFit="1" customWidth="1"/>
    <col min="12" max="12" width="8.5" style="223" bestFit="1" customWidth="1"/>
    <col min="13" max="13" width="3.375" style="223" bestFit="1" customWidth="1"/>
    <col min="14" max="14" width="5.375" style="223" customWidth="1"/>
    <col min="15" max="15" width="4.375" style="223" customWidth="1"/>
    <col min="16" max="16" width="0.375" style="223" customWidth="1"/>
    <col min="17" max="17" width="9" style="223"/>
    <col min="18" max="18" width="1.25" style="223" customWidth="1"/>
    <col min="19" max="19" width="9" style="223"/>
    <col min="20" max="23" width="9" style="223" hidden="1" customWidth="1"/>
    <col min="24" max="24" width="0" style="223" hidden="1" customWidth="1"/>
    <col min="25" max="16384" width="9" style="223"/>
  </cols>
  <sheetData>
    <row r="1" spans="2:20" ht="20.100000000000001" customHeight="1">
      <c r="B1" s="222" t="s">
        <v>496</v>
      </c>
    </row>
    <row r="2" spans="2:20" ht="20.100000000000001" customHeight="1">
      <c r="B2" s="527" t="s">
        <v>304</v>
      </c>
      <c r="C2" s="527"/>
      <c r="D2" s="527"/>
      <c r="E2" s="527"/>
      <c r="F2" s="527"/>
      <c r="G2" s="527"/>
      <c r="H2" s="527"/>
      <c r="I2" s="527"/>
      <c r="J2" s="226"/>
      <c r="K2" s="227"/>
      <c r="L2" s="228"/>
      <c r="M2" s="228"/>
      <c r="N2" s="228"/>
      <c r="O2" s="228"/>
    </row>
    <row r="3" spans="2:20" ht="20.100000000000001" customHeight="1">
      <c r="B3" s="528" t="s">
        <v>250</v>
      </c>
      <c r="C3" s="528"/>
      <c r="D3" s="528"/>
      <c r="E3" s="229"/>
      <c r="F3" s="229"/>
      <c r="G3" s="229"/>
      <c r="H3" s="230"/>
      <c r="I3" s="230"/>
      <c r="J3" s="226"/>
      <c r="K3" s="227"/>
      <c r="L3" s="228"/>
      <c r="M3" s="228"/>
      <c r="N3" s="228"/>
      <c r="O3" s="228"/>
    </row>
    <row r="4" spans="2:20" ht="20.100000000000001" customHeight="1">
      <c r="B4" s="231"/>
      <c r="C4" s="511" t="s">
        <v>29</v>
      </c>
      <c r="D4" s="509"/>
      <c r="E4" s="509"/>
      <c r="F4" s="509"/>
      <c r="G4" s="509"/>
      <c r="H4" s="509"/>
      <c r="I4" s="510"/>
      <c r="J4" s="529" t="s">
        <v>69</v>
      </c>
      <c r="K4" s="530"/>
      <c r="L4" s="511" t="s">
        <v>99</v>
      </c>
      <c r="M4" s="510"/>
      <c r="N4" s="511" t="s">
        <v>167</v>
      </c>
      <c r="O4" s="510"/>
    </row>
    <row r="5" spans="2:20" ht="20.100000000000001" customHeight="1">
      <c r="B5" s="232" t="s">
        <v>97</v>
      </c>
      <c r="C5" s="524" t="s">
        <v>406</v>
      </c>
      <c r="D5" s="525"/>
      <c r="E5" s="525"/>
      <c r="F5" s="525"/>
      <c r="G5" s="525"/>
      <c r="H5" s="525"/>
      <c r="I5" s="526"/>
      <c r="J5" s="233" t="str">
        <f>IF(AND('1.5固定荷重表'!C4="",'1.5固定荷重表'!C5=""),"",IF('1.5固定荷重表'!C4="〇",'1.5固定荷重表'!AB4,IF('1.5固定荷重表'!C5="〇",'1.5固定荷重表'!AB5,"NG")))</f>
        <v/>
      </c>
      <c r="K5" s="234" t="s">
        <v>95</v>
      </c>
      <c r="L5" s="221"/>
      <c r="M5" s="235" t="s">
        <v>113</v>
      </c>
      <c r="N5" s="492" t="str">
        <f>IF(L5="","",L5*J5)</f>
        <v/>
      </c>
      <c r="O5" s="493"/>
    </row>
    <row r="6" spans="2:20" ht="20.100000000000001" customHeight="1">
      <c r="B6" s="232" t="s">
        <v>98</v>
      </c>
      <c r="C6" s="524" t="s">
        <v>407</v>
      </c>
      <c r="D6" s="525"/>
      <c r="E6" s="525"/>
      <c r="F6" s="525"/>
      <c r="G6" s="525"/>
      <c r="H6" s="525"/>
      <c r="I6" s="526"/>
      <c r="J6" s="233" t="str">
        <f>IF(AND('1.5固定荷重表'!C6="",'1.5固定荷重表'!C7=""),"",IF('1.5固定荷重表'!C6="〇",'1.5固定荷重表'!AB6,IF('1.5固定荷重表'!C7="〇",'1.5固定荷重表'!AB7,"NG")))</f>
        <v/>
      </c>
      <c r="K6" s="234" t="s">
        <v>95</v>
      </c>
      <c r="L6" s="221"/>
      <c r="M6" s="235" t="s">
        <v>113</v>
      </c>
      <c r="N6" s="492" t="str">
        <f>IF(L6="","",L6*J6)</f>
        <v/>
      </c>
      <c r="O6" s="493"/>
    </row>
    <row r="7" spans="2:20" ht="20.100000000000001" customHeight="1">
      <c r="B7" s="232" t="s">
        <v>48</v>
      </c>
      <c r="C7" s="494" t="s">
        <v>242</v>
      </c>
      <c r="D7" s="495"/>
      <c r="E7" s="495"/>
      <c r="F7" s="495"/>
      <c r="G7" s="495"/>
      <c r="H7" s="495"/>
      <c r="I7" s="496"/>
      <c r="J7" s="233" t="str">
        <f>IF(AND('1.5固定荷重表'!C8="",'1.5固定荷重表'!C9=""),"",IF('1.5固定荷重表'!C8="〇",'1.5固定荷重表'!AB8,IF('1.5固定荷重表'!C9="〇",'1.5固定荷重表'!AB9,"NG")))</f>
        <v/>
      </c>
      <c r="K7" s="234" t="s">
        <v>95</v>
      </c>
      <c r="L7" s="221"/>
      <c r="M7" s="235" t="s">
        <v>113</v>
      </c>
      <c r="N7" s="492" t="str">
        <f>IF(L7="","",L7*J7)</f>
        <v/>
      </c>
      <c r="O7" s="493"/>
    </row>
    <row r="8" spans="2:20" ht="20.100000000000001" customHeight="1">
      <c r="B8" s="232" t="s">
        <v>65</v>
      </c>
      <c r="C8" s="494" t="s">
        <v>243</v>
      </c>
      <c r="D8" s="495"/>
      <c r="E8" s="495"/>
      <c r="F8" s="495"/>
      <c r="G8" s="495"/>
      <c r="H8" s="495"/>
      <c r="I8" s="496"/>
      <c r="J8" s="233" t="str">
        <f>IF(AND('1.5固定荷重表'!C10="",'1.5固定荷重表'!C11=""),"",IF('1.5固定荷重表'!C10="〇",'1.5固定荷重表'!AB10,IF('1.5固定荷重表'!C11="〇",'1.5固定荷重表'!AB11,"NG")))</f>
        <v/>
      </c>
      <c r="K8" s="234" t="s">
        <v>95</v>
      </c>
      <c r="L8" s="221"/>
      <c r="M8" s="235" t="s">
        <v>113</v>
      </c>
      <c r="N8" s="492" t="str">
        <f>IF(L8="","",L8*J8)</f>
        <v/>
      </c>
      <c r="O8" s="493"/>
    </row>
    <row r="9" spans="2:20" ht="20.100000000000001" customHeight="1">
      <c r="B9" s="232" t="s">
        <v>93</v>
      </c>
      <c r="C9" s="494" t="s">
        <v>244</v>
      </c>
      <c r="D9" s="495"/>
      <c r="E9" s="495"/>
      <c r="F9" s="495"/>
      <c r="G9" s="495"/>
      <c r="H9" s="495"/>
      <c r="I9" s="496"/>
      <c r="J9" s="233" t="str">
        <f>IF(AND('1.5固定荷重表'!C12="",'1.5固定荷重表'!C13=""),"",IF('1.5固定荷重表'!C12="〇",'1.5固定荷重表'!AB12,IF('1.5固定荷重表'!C13="〇",'1.5固定荷重表'!AB13,"NG")))</f>
        <v/>
      </c>
      <c r="K9" s="234" t="s">
        <v>96</v>
      </c>
      <c r="L9" s="221"/>
      <c r="M9" s="235" t="s">
        <v>49</v>
      </c>
      <c r="N9" s="500" t="str">
        <f>IF(L9="","",IF(J10="",J9*L9,L9*J9*J10))</f>
        <v/>
      </c>
      <c r="O9" s="501"/>
    </row>
    <row r="10" spans="2:20" ht="20.100000000000001" customHeight="1">
      <c r="B10" s="232" t="s">
        <v>194</v>
      </c>
      <c r="C10" s="521" t="s">
        <v>241</v>
      </c>
      <c r="D10" s="522"/>
      <c r="E10" s="522"/>
      <c r="F10" s="522"/>
      <c r="G10" s="522"/>
      <c r="H10" s="522"/>
      <c r="I10" s="523"/>
      <c r="J10" s="531" t="str">
        <f>'1.5固定荷重表'!AB15</f>
        <v/>
      </c>
      <c r="K10" s="532"/>
      <c r="L10" s="532"/>
      <c r="M10" s="533"/>
      <c r="N10" s="504"/>
      <c r="O10" s="505"/>
    </row>
    <row r="11" spans="2:20" ht="20.100000000000001" customHeight="1">
      <c r="B11" s="232" t="s">
        <v>94</v>
      </c>
      <c r="C11" s="494" t="s">
        <v>245</v>
      </c>
      <c r="D11" s="495"/>
      <c r="E11" s="495"/>
      <c r="F11" s="495"/>
      <c r="G11" s="495"/>
      <c r="H11" s="495"/>
      <c r="I11" s="496"/>
      <c r="J11" s="233" t="str">
        <f>IF(AND('1.5固定荷重表'!C16="",'1.5固定荷重表'!C17=""),"",IF('1.5固定荷重表'!C16="〇",'1.5固定荷重表'!AB16,IF('1.5固定荷重表'!C17="〇",'1.5固定荷重表'!AB17,"NG")))</f>
        <v/>
      </c>
      <c r="K11" s="234" t="s">
        <v>96</v>
      </c>
      <c r="L11" s="221"/>
      <c r="M11" s="235" t="s">
        <v>49</v>
      </c>
      <c r="N11" s="500" t="str">
        <f>IF(L11="","",IF(J12="",J11*L11,L11*J11*J12))</f>
        <v/>
      </c>
      <c r="O11" s="501"/>
    </row>
    <row r="12" spans="2:20" ht="20.100000000000001" customHeight="1">
      <c r="B12" s="232" t="s">
        <v>195</v>
      </c>
      <c r="C12" s="521" t="s">
        <v>241</v>
      </c>
      <c r="D12" s="522"/>
      <c r="E12" s="522"/>
      <c r="F12" s="522"/>
      <c r="G12" s="522"/>
      <c r="H12" s="522"/>
      <c r="I12" s="523"/>
      <c r="J12" s="531" t="str">
        <f>'1.5固定荷重表'!AB19</f>
        <v/>
      </c>
      <c r="K12" s="532"/>
      <c r="L12" s="532"/>
      <c r="M12" s="533"/>
      <c r="N12" s="504"/>
      <c r="O12" s="505"/>
    </row>
    <row r="13" spans="2:20" ht="20.100000000000001" customHeight="1">
      <c r="B13" s="232" t="s">
        <v>100</v>
      </c>
      <c r="C13" s="494" t="s">
        <v>246</v>
      </c>
      <c r="D13" s="495"/>
      <c r="E13" s="495"/>
      <c r="F13" s="495"/>
      <c r="G13" s="495"/>
      <c r="H13" s="495"/>
      <c r="I13" s="496"/>
      <c r="J13" s="233" t="str">
        <f>IF(AND('1.5固定荷重表'!C20="",'1.5固定荷重表'!C22=""),"",IF('1.5固定荷重表'!C20="〇",'1.5固定荷重表'!AB21,IF('1.5固定荷重表'!C22="〇",'1.5固定荷重表'!AB23,"NG")))</f>
        <v/>
      </c>
      <c r="K13" s="234" t="s">
        <v>95</v>
      </c>
      <c r="L13" s="221"/>
      <c r="M13" s="235" t="s">
        <v>113</v>
      </c>
      <c r="N13" s="492" t="str">
        <f t="shared" ref="N13:N18" si="0">IF(L13="","",L13*J13)</f>
        <v/>
      </c>
      <c r="O13" s="493"/>
      <c r="T13" s="225"/>
    </row>
    <row r="14" spans="2:20" ht="20.100000000000001" customHeight="1">
      <c r="B14" s="232" t="s">
        <v>198</v>
      </c>
      <c r="C14" s="494" t="s">
        <v>246</v>
      </c>
      <c r="D14" s="495"/>
      <c r="E14" s="495"/>
      <c r="F14" s="495"/>
      <c r="G14" s="495"/>
      <c r="H14" s="495"/>
      <c r="I14" s="496"/>
      <c r="J14" s="233" t="str">
        <f>IF(AND('1.5固定荷重表'!C24="",'1.5固定荷重表'!C26=""),"",IF('1.5固定荷重表'!C24="〇",'1.5固定荷重表'!AB25,IF('1.5固定荷重表'!C26="〇",'1.5固定荷重表'!AB27,"NG")))</f>
        <v/>
      </c>
      <c r="K14" s="234" t="s">
        <v>95</v>
      </c>
      <c r="L14" s="221"/>
      <c r="M14" s="235" t="s">
        <v>113</v>
      </c>
      <c r="N14" s="492" t="str">
        <f t="shared" si="0"/>
        <v/>
      </c>
      <c r="O14" s="493"/>
    </row>
    <row r="15" spans="2:20" ht="20.100000000000001" customHeight="1">
      <c r="B15" s="236" t="s">
        <v>47</v>
      </c>
      <c r="C15" s="494" t="s">
        <v>247</v>
      </c>
      <c r="D15" s="495"/>
      <c r="E15" s="495"/>
      <c r="F15" s="495"/>
      <c r="G15" s="495"/>
      <c r="H15" s="495"/>
      <c r="I15" s="496"/>
      <c r="J15" s="233" t="str">
        <f>IF(AND('1.5固定荷重表'!C28="",'1.5固定荷重表'!C29=""),"",IF('1.5固定荷重表'!C28="〇",'1.5固定荷重表'!AB28,IF('1.5固定荷重表'!C29="〇",'1.5固定荷重表'!AB29,"NG")))</f>
        <v/>
      </c>
      <c r="K15" s="234" t="s">
        <v>96</v>
      </c>
      <c r="L15" s="221"/>
      <c r="M15" s="235" t="s">
        <v>49</v>
      </c>
      <c r="N15" s="492" t="str">
        <f t="shared" si="0"/>
        <v/>
      </c>
      <c r="O15" s="493"/>
    </row>
    <row r="16" spans="2:20" ht="20.100000000000001" customHeight="1">
      <c r="B16" s="236" t="s">
        <v>46</v>
      </c>
      <c r="C16" s="494" t="s">
        <v>248</v>
      </c>
      <c r="D16" s="495"/>
      <c r="E16" s="495"/>
      <c r="F16" s="495"/>
      <c r="G16" s="495"/>
      <c r="H16" s="495"/>
      <c r="I16" s="496"/>
      <c r="J16" s="233" t="str">
        <f>IF(AND('1.5固定荷重表'!C30="",'1.5固定荷重表'!C31=""),"",IF('1.5固定荷重表'!C30="〇",'1.5固定荷重表'!AB30,IF('1.5固定荷重表'!C31="〇",'1.5固定荷重表'!AB31,"NG")))</f>
        <v/>
      </c>
      <c r="K16" s="234" t="s">
        <v>96</v>
      </c>
      <c r="L16" s="221"/>
      <c r="M16" s="235" t="s">
        <v>49</v>
      </c>
      <c r="N16" s="492" t="str">
        <f t="shared" si="0"/>
        <v/>
      </c>
      <c r="O16" s="493"/>
    </row>
    <row r="17" spans="2:23" ht="20.100000000000001" customHeight="1">
      <c r="B17" s="236" t="s">
        <v>64</v>
      </c>
      <c r="C17" s="497" t="s">
        <v>249</v>
      </c>
      <c r="D17" s="498"/>
      <c r="E17" s="498"/>
      <c r="F17" s="498"/>
      <c r="G17" s="498"/>
      <c r="H17" s="498"/>
      <c r="I17" s="499"/>
      <c r="J17" s="233" t="str">
        <f>IF(AND('1.5固定荷重表'!C38="",'1.5固定荷重表'!C40=""),"",IF('1.5固定荷重表'!C38="〇",'1.5固定荷重表'!AB39,IF('1.5固定荷重表'!C40="〇",'1.5固定荷重表'!AB41,"NG")))</f>
        <v/>
      </c>
      <c r="K17" s="234" t="s">
        <v>95</v>
      </c>
      <c r="L17" s="221"/>
      <c r="M17" s="235" t="s">
        <v>113</v>
      </c>
      <c r="N17" s="492" t="str">
        <f t="shared" si="0"/>
        <v/>
      </c>
      <c r="O17" s="493"/>
    </row>
    <row r="18" spans="2:23" ht="20.100000000000001" customHeight="1">
      <c r="B18" s="236" t="s">
        <v>199</v>
      </c>
      <c r="C18" s="497" t="s">
        <v>249</v>
      </c>
      <c r="D18" s="498"/>
      <c r="E18" s="498"/>
      <c r="F18" s="498"/>
      <c r="G18" s="498"/>
      <c r="H18" s="498"/>
      <c r="I18" s="499"/>
      <c r="J18" s="233" t="str">
        <f>IF(AND('1.5固定荷重表'!C42="",'1.5固定荷重表'!C44=""),"",IF('1.5固定荷重表'!C42="〇",'1.5固定荷重表'!AB43,IF('1.5固定荷重表'!C44="〇",'1.5固定荷重表'!AB45,"NG")))</f>
        <v/>
      </c>
      <c r="K18" s="234" t="s">
        <v>95</v>
      </c>
      <c r="L18" s="221"/>
      <c r="M18" s="235" t="s">
        <v>113</v>
      </c>
      <c r="N18" s="492" t="str">
        <f t="shared" si="0"/>
        <v/>
      </c>
      <c r="O18" s="493"/>
    </row>
    <row r="19" spans="2:23" ht="20.100000000000001" customHeight="1">
      <c r="B19" s="517" t="s">
        <v>83</v>
      </c>
      <c r="C19" s="494" t="s">
        <v>90</v>
      </c>
      <c r="D19" s="495"/>
      <c r="E19" s="495"/>
      <c r="F19" s="495"/>
      <c r="G19" s="495"/>
      <c r="H19" s="495"/>
      <c r="I19" s="496"/>
      <c r="J19" s="233" t="str">
        <f>IF('1.5固定荷重表'!C32="","",IF('1.5固定荷重表'!C32="〇",'1.5固定荷重表'!AB32,"NG"))</f>
        <v/>
      </c>
      <c r="K19" s="234" t="s">
        <v>95</v>
      </c>
      <c r="L19" s="221"/>
      <c r="M19" s="235" t="s">
        <v>113</v>
      </c>
      <c r="N19" s="500" t="str">
        <f>IF(AND(L19="",L20="",L21=""),"",SUBTOTAL(109,V19:V21))</f>
        <v/>
      </c>
      <c r="O19" s="501"/>
      <c r="V19" s="223" t="str">
        <f t="shared" ref="V19:V24" si="1">IF(L19="","",L19*J19)</f>
        <v/>
      </c>
    </row>
    <row r="20" spans="2:23" ht="20.100000000000001" customHeight="1">
      <c r="B20" s="518"/>
      <c r="C20" s="494" t="s">
        <v>90</v>
      </c>
      <c r="D20" s="495"/>
      <c r="E20" s="495"/>
      <c r="F20" s="495"/>
      <c r="G20" s="495"/>
      <c r="H20" s="495"/>
      <c r="I20" s="496"/>
      <c r="J20" s="233" t="str">
        <f>IF('1.5固定荷重表'!C33="","",IF('1.5固定荷重表'!C33="〇",'1.5固定荷重表'!AB33,"NG"))</f>
        <v/>
      </c>
      <c r="K20" s="234" t="s">
        <v>95</v>
      </c>
      <c r="L20" s="221"/>
      <c r="M20" s="235" t="s">
        <v>113</v>
      </c>
      <c r="N20" s="502"/>
      <c r="O20" s="503"/>
      <c r="V20" s="223" t="str">
        <f t="shared" si="1"/>
        <v/>
      </c>
    </row>
    <row r="21" spans="2:23" ht="20.100000000000001" customHeight="1">
      <c r="B21" s="519"/>
      <c r="C21" s="494" t="s">
        <v>90</v>
      </c>
      <c r="D21" s="495"/>
      <c r="E21" s="495"/>
      <c r="F21" s="495"/>
      <c r="G21" s="495"/>
      <c r="H21" s="495"/>
      <c r="I21" s="496"/>
      <c r="J21" s="233" t="str">
        <f>IF('1.5固定荷重表'!C34="","",IF('1.5固定荷重表'!C34="〇",'1.5固定荷重表'!AB34,"NG"))</f>
        <v/>
      </c>
      <c r="K21" s="234" t="s">
        <v>95</v>
      </c>
      <c r="L21" s="221"/>
      <c r="M21" s="235" t="s">
        <v>113</v>
      </c>
      <c r="N21" s="504"/>
      <c r="O21" s="505"/>
      <c r="V21" s="223" t="str">
        <f t="shared" si="1"/>
        <v/>
      </c>
    </row>
    <row r="22" spans="2:23" ht="20.100000000000001" customHeight="1">
      <c r="B22" s="517" t="s">
        <v>84</v>
      </c>
      <c r="C22" s="494" t="s">
        <v>90</v>
      </c>
      <c r="D22" s="495"/>
      <c r="E22" s="495"/>
      <c r="F22" s="495"/>
      <c r="G22" s="495"/>
      <c r="H22" s="495"/>
      <c r="I22" s="496"/>
      <c r="J22" s="233" t="str">
        <f>IF('1.5固定荷重表'!C35="","",IF('1.5固定荷重表'!C35="〇",'1.5固定荷重表'!AB35,"NG"))</f>
        <v/>
      </c>
      <c r="K22" s="234" t="s">
        <v>95</v>
      </c>
      <c r="L22" s="221"/>
      <c r="M22" s="235" t="s">
        <v>113</v>
      </c>
      <c r="N22" s="500" t="str">
        <f>IF(AND(L22="",L23="",L24=""),"",SUBTOTAL(109,V22:V24))</f>
        <v/>
      </c>
      <c r="O22" s="501"/>
      <c r="V22" s="223" t="str">
        <f t="shared" si="1"/>
        <v/>
      </c>
    </row>
    <row r="23" spans="2:23" ht="20.100000000000001" customHeight="1">
      <c r="B23" s="518"/>
      <c r="C23" s="494" t="s">
        <v>90</v>
      </c>
      <c r="D23" s="495"/>
      <c r="E23" s="495"/>
      <c r="F23" s="495"/>
      <c r="G23" s="495"/>
      <c r="H23" s="495"/>
      <c r="I23" s="496"/>
      <c r="J23" s="233" t="str">
        <f>IF('1.5固定荷重表'!C36="","",IF('1.5固定荷重表'!C36="〇",'1.5固定荷重表'!AB36,"NG"))</f>
        <v/>
      </c>
      <c r="K23" s="234" t="s">
        <v>95</v>
      </c>
      <c r="L23" s="221"/>
      <c r="M23" s="235" t="s">
        <v>113</v>
      </c>
      <c r="N23" s="502"/>
      <c r="O23" s="503"/>
      <c r="V23" s="223" t="str">
        <f t="shared" si="1"/>
        <v/>
      </c>
    </row>
    <row r="24" spans="2:23" ht="20.100000000000001" customHeight="1">
      <c r="B24" s="519"/>
      <c r="C24" s="494" t="s">
        <v>90</v>
      </c>
      <c r="D24" s="495"/>
      <c r="E24" s="495"/>
      <c r="F24" s="495"/>
      <c r="G24" s="495"/>
      <c r="H24" s="495"/>
      <c r="I24" s="496"/>
      <c r="J24" s="233" t="str">
        <f>IF('1.5固定荷重表'!C37="","",IF('1.5固定荷重表'!C37="〇",'1.5固定荷重表'!AB37,"NG"))</f>
        <v/>
      </c>
      <c r="K24" s="234" t="s">
        <v>95</v>
      </c>
      <c r="L24" s="221"/>
      <c r="M24" s="235" t="s">
        <v>113</v>
      </c>
      <c r="N24" s="504"/>
      <c r="O24" s="505"/>
      <c r="V24" s="223" t="str">
        <f t="shared" si="1"/>
        <v/>
      </c>
    </row>
    <row r="25" spans="2:23" ht="20.100000000000001" customHeight="1">
      <c r="B25" s="228"/>
      <c r="C25" s="228"/>
      <c r="D25" s="228"/>
      <c r="E25" s="228"/>
      <c r="F25" s="228"/>
      <c r="G25" s="228"/>
      <c r="H25" s="228"/>
      <c r="J25" s="226"/>
      <c r="K25" s="227"/>
      <c r="L25" s="237"/>
      <c r="M25" s="237"/>
      <c r="N25" s="237"/>
      <c r="O25" s="237"/>
    </row>
    <row r="26" spans="2:23" ht="20.100000000000001" customHeight="1">
      <c r="B26" s="228" t="s">
        <v>512</v>
      </c>
      <c r="C26" s="228"/>
      <c r="D26" s="228"/>
      <c r="E26" s="228"/>
      <c r="F26" s="228"/>
      <c r="G26" s="228"/>
      <c r="H26" s="228"/>
      <c r="I26" s="226"/>
      <c r="J26" s="227"/>
      <c r="K26" s="238"/>
      <c r="P26" s="239"/>
    </row>
    <row r="27" spans="2:23" ht="20.100000000000001" customHeight="1">
      <c r="B27" s="511" t="s">
        <v>43</v>
      </c>
      <c r="C27" s="510"/>
      <c r="D27" s="509" t="s">
        <v>44</v>
      </c>
      <c r="E27" s="509"/>
      <c r="F27" s="509"/>
      <c r="G27" s="509"/>
      <c r="H27" s="509"/>
      <c r="I27" s="510"/>
      <c r="J27" s="514" t="s">
        <v>0</v>
      </c>
      <c r="K27" s="515"/>
      <c r="L27" s="516"/>
      <c r="M27" s="240"/>
      <c r="N27" s="237"/>
      <c r="O27" s="237"/>
      <c r="P27" s="237"/>
      <c r="U27" s="223" t="s">
        <v>498</v>
      </c>
      <c r="V27" s="223" t="s">
        <v>499</v>
      </c>
      <c r="W27" s="223" t="s">
        <v>500</v>
      </c>
    </row>
    <row r="28" spans="2:23" ht="20.100000000000001" customHeight="1">
      <c r="B28" s="507" t="s">
        <v>169</v>
      </c>
      <c r="C28" s="508"/>
      <c r="D28" s="509" t="s">
        <v>85</v>
      </c>
      <c r="E28" s="509"/>
      <c r="F28" s="509"/>
      <c r="G28" s="509"/>
      <c r="H28" s="509"/>
      <c r="I28" s="510"/>
      <c r="J28" s="512">
        <f>SUBTOTAL(109,U28:U32)</f>
        <v>0</v>
      </c>
      <c r="K28" s="513"/>
      <c r="L28" s="241" t="s">
        <v>51</v>
      </c>
      <c r="M28" s="237"/>
      <c r="N28" s="250"/>
      <c r="O28" s="250"/>
      <c r="P28" s="237"/>
      <c r="U28" s="225" t="str">
        <f>N6</f>
        <v/>
      </c>
      <c r="V28" s="225" t="str">
        <f>N5</f>
        <v/>
      </c>
      <c r="W28" s="225" t="str">
        <f>N9</f>
        <v/>
      </c>
    </row>
    <row r="29" spans="2:23" ht="20.100000000000001" customHeight="1">
      <c r="B29" s="507" t="s">
        <v>170</v>
      </c>
      <c r="C29" s="508"/>
      <c r="D29" s="509" t="s">
        <v>86</v>
      </c>
      <c r="E29" s="509"/>
      <c r="F29" s="509"/>
      <c r="G29" s="509"/>
      <c r="H29" s="509"/>
      <c r="I29" s="510"/>
      <c r="J29" s="512">
        <f>SUBTOTAL(109,V28:V34)</f>
        <v>0</v>
      </c>
      <c r="K29" s="513"/>
      <c r="L29" s="241" t="s">
        <v>51</v>
      </c>
      <c r="N29" s="225"/>
      <c r="P29" s="237"/>
      <c r="U29" s="225" t="str">
        <f>N16</f>
        <v/>
      </c>
      <c r="V29" s="225" t="str">
        <f>N15</f>
        <v/>
      </c>
      <c r="W29" s="225" t="str">
        <f>N17</f>
        <v/>
      </c>
    </row>
    <row r="30" spans="2:23" ht="20.100000000000001" customHeight="1">
      <c r="B30" s="507" t="s">
        <v>168</v>
      </c>
      <c r="C30" s="508"/>
      <c r="D30" s="509" t="s">
        <v>87</v>
      </c>
      <c r="E30" s="509"/>
      <c r="F30" s="509"/>
      <c r="G30" s="509"/>
      <c r="H30" s="509"/>
      <c r="I30" s="510"/>
      <c r="J30" s="512">
        <f>SUBTOTAL(109,W28:W29)</f>
        <v>0</v>
      </c>
      <c r="K30" s="513"/>
      <c r="L30" s="241" t="s">
        <v>51</v>
      </c>
      <c r="M30" s="251"/>
      <c r="N30" s="237"/>
      <c r="O30" s="237"/>
      <c r="P30" s="237"/>
      <c r="Q30" s="237"/>
      <c r="R30" s="237"/>
      <c r="U30" s="225" t="str">
        <f>N8</f>
        <v/>
      </c>
      <c r="V30" s="225" t="str">
        <f>N7</f>
        <v/>
      </c>
    </row>
    <row r="31" spans="2:23" ht="20.100000000000001" customHeight="1">
      <c r="B31" s="511" t="s">
        <v>193</v>
      </c>
      <c r="C31" s="509"/>
      <c r="D31" s="509"/>
      <c r="E31" s="509"/>
      <c r="F31" s="509"/>
      <c r="G31" s="509"/>
      <c r="H31" s="509"/>
      <c r="I31" s="509"/>
      <c r="J31" s="512">
        <f>SUM(J28:K30)</f>
        <v>0</v>
      </c>
      <c r="K31" s="513"/>
      <c r="L31" s="241" t="s">
        <v>51</v>
      </c>
      <c r="M31" s="242"/>
      <c r="N31" s="250"/>
      <c r="O31" s="237"/>
      <c r="P31" s="237"/>
      <c r="Q31" s="237"/>
      <c r="R31" s="237"/>
      <c r="U31" s="225" t="str">
        <f>N11</f>
        <v/>
      </c>
      <c r="V31" s="225" t="str">
        <f>N11</f>
        <v/>
      </c>
    </row>
    <row r="32" spans="2:23" ht="20.100000000000001" customHeight="1">
      <c r="B32" s="244"/>
      <c r="C32" s="244"/>
      <c r="D32" s="245"/>
      <c r="E32" s="245"/>
      <c r="F32" s="245"/>
      <c r="G32" s="245"/>
      <c r="H32" s="245"/>
      <c r="I32" s="245"/>
      <c r="J32" s="246"/>
      <c r="K32" s="246"/>
      <c r="L32" s="237"/>
      <c r="M32" s="242"/>
      <c r="N32" s="243"/>
      <c r="O32" s="237"/>
      <c r="P32" s="237"/>
      <c r="Q32" s="237"/>
      <c r="R32" s="237"/>
      <c r="U32" s="225" t="str">
        <f>N22</f>
        <v/>
      </c>
      <c r="V32" s="225" t="str">
        <f>N9</f>
        <v/>
      </c>
    </row>
    <row r="33" spans="2:23" ht="20.100000000000001" customHeight="1">
      <c r="B33" s="228" t="s">
        <v>45</v>
      </c>
      <c r="C33" s="228"/>
      <c r="D33" s="228"/>
      <c r="E33" s="228"/>
      <c r="F33" s="228"/>
      <c r="G33" s="228"/>
      <c r="H33" s="228"/>
      <c r="I33" s="226"/>
      <c r="J33" s="227"/>
      <c r="K33" s="238"/>
      <c r="M33" s="242"/>
      <c r="N33" s="243"/>
      <c r="O33" s="237"/>
      <c r="P33" s="237"/>
      <c r="Q33" s="237"/>
      <c r="R33" s="237"/>
      <c r="V33" s="225" t="str">
        <f>N13</f>
        <v/>
      </c>
    </row>
    <row r="34" spans="2:23" ht="20.100000000000001" customHeight="1">
      <c r="B34" s="511" t="s">
        <v>43</v>
      </c>
      <c r="C34" s="510"/>
      <c r="D34" s="509" t="s">
        <v>44</v>
      </c>
      <c r="E34" s="509"/>
      <c r="F34" s="509"/>
      <c r="G34" s="509"/>
      <c r="H34" s="509"/>
      <c r="I34" s="510"/>
      <c r="J34" s="514" t="s">
        <v>0</v>
      </c>
      <c r="K34" s="515"/>
      <c r="L34" s="516"/>
      <c r="M34" s="242"/>
      <c r="N34" s="243"/>
      <c r="O34" s="237"/>
      <c r="P34" s="237"/>
      <c r="Q34" s="237"/>
      <c r="R34" s="237"/>
      <c r="V34" s="225" t="str">
        <f>N19</f>
        <v/>
      </c>
    </row>
    <row r="35" spans="2:23" ht="20.100000000000001" customHeight="1">
      <c r="B35" s="507" t="s">
        <v>169</v>
      </c>
      <c r="C35" s="508"/>
      <c r="D35" s="509" t="s">
        <v>85</v>
      </c>
      <c r="E35" s="509"/>
      <c r="F35" s="509"/>
      <c r="G35" s="509"/>
      <c r="H35" s="509"/>
      <c r="I35" s="510"/>
      <c r="J35" s="520">
        <f>SUBTOTAL(109,U37:U41)</f>
        <v>0</v>
      </c>
      <c r="K35" s="513"/>
      <c r="L35" s="241" t="s">
        <v>51</v>
      </c>
      <c r="M35" s="242"/>
      <c r="N35" s="250"/>
      <c r="O35" s="237"/>
      <c r="P35" s="237"/>
      <c r="Q35" s="237"/>
      <c r="R35" s="237"/>
    </row>
    <row r="36" spans="2:23" ht="20.100000000000001" customHeight="1">
      <c r="B36" s="507" t="s">
        <v>170</v>
      </c>
      <c r="C36" s="508"/>
      <c r="D36" s="509" t="s">
        <v>200</v>
      </c>
      <c r="E36" s="509"/>
      <c r="F36" s="509"/>
      <c r="G36" s="509"/>
      <c r="H36" s="509"/>
      <c r="I36" s="510"/>
      <c r="J36" s="512">
        <f>SUBTOTAL(109,V37:V43)</f>
        <v>0</v>
      </c>
      <c r="K36" s="513"/>
      <c r="L36" s="241" t="s">
        <v>51</v>
      </c>
      <c r="M36" s="242"/>
      <c r="N36" s="250"/>
      <c r="O36" s="237"/>
      <c r="P36" s="237"/>
      <c r="Q36" s="237"/>
      <c r="R36" s="237"/>
      <c r="U36" s="223" t="s">
        <v>498</v>
      </c>
      <c r="V36" s="223" t="s">
        <v>499</v>
      </c>
      <c r="W36" s="223" t="s">
        <v>500</v>
      </c>
    </row>
    <row r="37" spans="2:23" ht="20.100000000000001" customHeight="1">
      <c r="B37" s="507" t="s">
        <v>168</v>
      </c>
      <c r="C37" s="508"/>
      <c r="D37" s="509" t="s">
        <v>201</v>
      </c>
      <c r="E37" s="509"/>
      <c r="F37" s="509"/>
      <c r="G37" s="509"/>
      <c r="H37" s="509"/>
      <c r="I37" s="510"/>
      <c r="J37" s="512">
        <f>SUBTOTAL(109,W37:W38)</f>
        <v>0</v>
      </c>
      <c r="K37" s="513"/>
      <c r="L37" s="241" t="s">
        <v>51</v>
      </c>
      <c r="M37" s="242"/>
      <c r="N37" s="250"/>
      <c r="O37" s="237"/>
      <c r="P37" s="237"/>
      <c r="Q37" s="237"/>
      <c r="R37" s="237"/>
      <c r="U37" s="225" t="str">
        <f>N6</f>
        <v/>
      </c>
      <c r="V37" s="225" t="str">
        <f>N5</f>
        <v/>
      </c>
      <c r="W37" s="225" t="str">
        <f>N9</f>
        <v/>
      </c>
    </row>
    <row r="38" spans="2:23" ht="20.100000000000001" customHeight="1">
      <c r="B38" s="511" t="s">
        <v>193</v>
      </c>
      <c r="C38" s="509"/>
      <c r="D38" s="509"/>
      <c r="E38" s="509"/>
      <c r="F38" s="509"/>
      <c r="G38" s="509"/>
      <c r="H38" s="509"/>
      <c r="I38" s="509"/>
      <c r="J38" s="512">
        <f>SUM(J35:K37)</f>
        <v>0</v>
      </c>
      <c r="K38" s="513"/>
      <c r="L38" s="241" t="s">
        <v>51</v>
      </c>
      <c r="M38" s="242"/>
      <c r="N38" s="237"/>
      <c r="O38" s="237"/>
      <c r="P38" s="237"/>
      <c r="Q38" s="237"/>
      <c r="R38" s="237"/>
      <c r="U38" s="225" t="str">
        <f>N16</f>
        <v/>
      </c>
      <c r="V38" s="225" t="str">
        <f>N15</f>
        <v/>
      </c>
      <c r="W38" s="225" t="str">
        <f>N18</f>
        <v/>
      </c>
    </row>
    <row r="39" spans="2:23" ht="20.100000000000001" customHeight="1">
      <c r="U39" s="225" t="str">
        <f>N8</f>
        <v/>
      </c>
      <c r="V39" s="225" t="str">
        <f>N7</f>
        <v/>
      </c>
    </row>
    <row r="40" spans="2:23" ht="20.100000000000001" customHeight="1">
      <c r="J40" s="223"/>
      <c r="K40" s="223"/>
      <c r="U40" s="225" t="str">
        <f>N11</f>
        <v/>
      </c>
      <c r="V40" s="225" t="str">
        <f>N11</f>
        <v/>
      </c>
    </row>
    <row r="41" spans="2:23" ht="20.100000000000001" customHeight="1">
      <c r="J41" s="223"/>
      <c r="K41" s="223"/>
      <c r="U41" s="225" t="str">
        <f>N22</f>
        <v/>
      </c>
      <c r="V41" s="225" t="str">
        <f>N9</f>
        <v/>
      </c>
    </row>
    <row r="42" spans="2:23" ht="20.100000000000001" customHeight="1">
      <c r="J42" s="223"/>
      <c r="K42" s="223"/>
      <c r="V42" s="225" t="str">
        <f>N14</f>
        <v/>
      </c>
    </row>
    <row r="43" spans="2:23" ht="20.100000000000001" customHeight="1">
      <c r="J43" s="223"/>
      <c r="K43" s="223"/>
      <c r="V43" s="225" t="str">
        <f>N19</f>
        <v/>
      </c>
    </row>
    <row r="44" spans="2:23" ht="20.100000000000001" customHeight="1">
      <c r="J44" s="223"/>
      <c r="K44" s="223"/>
    </row>
    <row r="45" spans="2:23" ht="20.100000000000001" customHeight="1">
      <c r="J45" s="223"/>
      <c r="K45" s="223"/>
    </row>
    <row r="46" spans="2:23" ht="20.100000000000001" customHeight="1">
      <c r="B46" s="247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</row>
    <row r="47" spans="2:23" ht="20.100000000000001" customHeight="1">
      <c r="B47" s="506"/>
      <c r="C47" s="506"/>
      <c r="D47" s="506"/>
      <c r="E47" s="249"/>
      <c r="F47" s="249"/>
      <c r="G47" s="249"/>
      <c r="H47" s="248"/>
      <c r="I47" s="248"/>
      <c r="J47" s="248"/>
      <c r="K47" s="248"/>
      <c r="L47" s="248"/>
      <c r="M47" s="248"/>
      <c r="N47" s="248"/>
      <c r="O47" s="248"/>
    </row>
    <row r="48" spans="2:23" ht="20.100000000000001" customHeight="1">
      <c r="J48" s="223"/>
      <c r="K48" s="223"/>
    </row>
    <row r="49" s="223" customFormat="1" ht="20.100000000000001" customHeight="1"/>
    <row r="50" s="223" customFormat="1" ht="20.100000000000001" customHeight="1"/>
    <row r="51" s="223" customFormat="1" ht="20.100000000000001" customHeight="1"/>
    <row r="52" s="223" customFormat="1" ht="20.100000000000001" customHeight="1"/>
    <row r="53" s="223" customFormat="1" ht="20.100000000000001" customHeight="1"/>
    <row r="54" s="223" customFormat="1" ht="20.100000000000001" customHeight="1"/>
    <row r="55" s="223" customFormat="1" ht="20.100000000000001" customHeight="1"/>
    <row r="56" s="223" customFormat="1" ht="20.100000000000001" customHeight="1"/>
    <row r="57" s="223" customFormat="1" ht="20.100000000000001" customHeight="1"/>
    <row r="58" s="223" customFormat="1" ht="20.100000000000001" customHeight="1"/>
    <row r="59" s="223" customFormat="1" ht="20.100000000000001" customHeight="1"/>
    <row r="60" s="223" customFormat="1" ht="20.100000000000001" customHeight="1"/>
    <row r="61" s="223" customFormat="1" ht="20.100000000000001" customHeight="1"/>
    <row r="62" s="223" customFormat="1" ht="20.100000000000001" customHeight="1"/>
    <row r="63" s="223" customFormat="1" ht="20.100000000000001" customHeight="1"/>
    <row r="64" s="223" customFormat="1" ht="20.100000000000001" customHeight="1"/>
  </sheetData>
  <sheetProtection sheet="1" selectLockedCells="1"/>
  <mergeCells count="73">
    <mergeCell ref="B2:I2"/>
    <mergeCell ref="B3:D3"/>
    <mergeCell ref="C14:I14"/>
    <mergeCell ref="N14:O14"/>
    <mergeCell ref="C15:I15"/>
    <mergeCell ref="C4:I4"/>
    <mergeCell ref="J4:K4"/>
    <mergeCell ref="L4:M4"/>
    <mergeCell ref="N4:O4"/>
    <mergeCell ref="C11:I11"/>
    <mergeCell ref="N11:O12"/>
    <mergeCell ref="C12:I12"/>
    <mergeCell ref="J12:M12"/>
    <mergeCell ref="C13:I13"/>
    <mergeCell ref="N13:O13"/>
    <mergeCell ref="J10:M10"/>
    <mergeCell ref="C5:I5"/>
    <mergeCell ref="N5:O5"/>
    <mergeCell ref="C6:I6"/>
    <mergeCell ref="N6:O6"/>
    <mergeCell ref="C8:I8"/>
    <mergeCell ref="N8:O8"/>
    <mergeCell ref="C9:I9"/>
    <mergeCell ref="N9:O10"/>
    <mergeCell ref="C10:I10"/>
    <mergeCell ref="C7:I7"/>
    <mergeCell ref="N7:O7"/>
    <mergeCell ref="J38:K38"/>
    <mergeCell ref="B19:B21"/>
    <mergeCell ref="B22:B24"/>
    <mergeCell ref="B35:C35"/>
    <mergeCell ref="D35:I35"/>
    <mergeCell ref="J35:K35"/>
    <mergeCell ref="B36:C36"/>
    <mergeCell ref="D36:I36"/>
    <mergeCell ref="J36:K36"/>
    <mergeCell ref="B31:I31"/>
    <mergeCell ref="J31:K31"/>
    <mergeCell ref="B34:C34"/>
    <mergeCell ref="D34:I34"/>
    <mergeCell ref="J34:L34"/>
    <mergeCell ref="B29:C29"/>
    <mergeCell ref="D29:I29"/>
    <mergeCell ref="N22:O24"/>
    <mergeCell ref="J37:K37"/>
    <mergeCell ref="J27:L27"/>
    <mergeCell ref="B28:C28"/>
    <mergeCell ref="D28:I28"/>
    <mergeCell ref="J28:K28"/>
    <mergeCell ref="C24:I24"/>
    <mergeCell ref="B27:C27"/>
    <mergeCell ref="D27:I27"/>
    <mergeCell ref="J29:K29"/>
    <mergeCell ref="B30:C30"/>
    <mergeCell ref="D30:I30"/>
    <mergeCell ref="J30:K30"/>
    <mergeCell ref="B47:D47"/>
    <mergeCell ref="B37:C37"/>
    <mergeCell ref="D37:I37"/>
    <mergeCell ref="C21:I21"/>
    <mergeCell ref="C22:I22"/>
    <mergeCell ref="C23:I23"/>
    <mergeCell ref="B38:I38"/>
    <mergeCell ref="N15:O15"/>
    <mergeCell ref="C16:I16"/>
    <mergeCell ref="N16:O16"/>
    <mergeCell ref="C20:I20"/>
    <mergeCell ref="C18:I18"/>
    <mergeCell ref="N19:O21"/>
    <mergeCell ref="N18:O18"/>
    <mergeCell ref="C19:I19"/>
    <mergeCell ref="C17:I17"/>
    <mergeCell ref="N17:O17"/>
  </mergeCells>
  <phoneticPr fontId="1"/>
  <pageMargins left="0.51181102362204722" right="0.51181102362204722" top="0.74803149606299213" bottom="0.74803149606299213" header="0.31496062992125984" footer="0.31496062992125984"/>
  <pageSetup paperSize="9" scale="95" orientation="portrait" horizontalDpi="300" verticalDpi="30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259"/>
  <sheetViews>
    <sheetView topLeftCell="B1" zoomScale="93" zoomScaleNormal="93" workbookViewId="0">
      <selection activeCell="B1" sqref="B1:J2"/>
    </sheetView>
  </sheetViews>
  <sheetFormatPr defaultRowHeight="13.5" outlineLevelCol="1"/>
  <cols>
    <col min="1" max="1" width="9" style="158" hidden="1" customWidth="1" outlineLevel="1"/>
    <col min="2" max="2" width="1.5" style="158" customWidth="1" collapsed="1"/>
    <col min="3" max="3" width="6.25" style="158" customWidth="1"/>
    <col min="4" max="4" width="3.625" style="158" customWidth="1"/>
    <col min="5" max="5" width="3" style="158" customWidth="1"/>
    <col min="6" max="7" width="3.625" style="158" customWidth="1"/>
    <col min="8" max="8" width="4.625" style="158" customWidth="1"/>
    <col min="9" max="9" width="8.125" style="158" customWidth="1"/>
    <col min="10" max="17" width="7.625" style="158" customWidth="1"/>
    <col min="18" max="18" width="8.25" style="158" customWidth="1"/>
    <col min="19" max="21" width="7.625" style="158" customWidth="1"/>
    <col min="22" max="22" width="9" style="158"/>
    <col min="23" max="23" width="7.25" style="158" customWidth="1"/>
    <col min="24" max="24" width="9" style="158"/>
    <col min="25" max="26" width="9" style="158" hidden="1" customWidth="1" outlineLevel="1"/>
    <col min="27" max="27" width="9.5" style="158" hidden="1" customWidth="1" outlineLevel="1"/>
    <col min="28" max="28" width="8.375" style="158" hidden="1" customWidth="1" outlineLevel="1"/>
    <col min="29" max="29" width="9" style="158" collapsed="1"/>
    <col min="30" max="16384" width="9" style="158"/>
  </cols>
  <sheetData>
    <row r="1" spans="2:29" ht="13.5" customHeight="1">
      <c r="B1" s="585" t="s">
        <v>405</v>
      </c>
      <c r="C1" s="585"/>
      <c r="D1" s="585"/>
      <c r="E1" s="585"/>
      <c r="F1" s="585"/>
      <c r="G1" s="585"/>
      <c r="H1" s="585"/>
      <c r="I1" s="585"/>
      <c r="J1" s="585"/>
    </row>
    <row r="2" spans="2:29" ht="13.5" customHeight="1">
      <c r="B2" s="585"/>
      <c r="C2" s="585"/>
      <c r="D2" s="585"/>
      <c r="E2" s="585"/>
      <c r="F2" s="585"/>
      <c r="G2" s="585"/>
      <c r="H2" s="585"/>
      <c r="I2" s="585"/>
      <c r="J2" s="585"/>
    </row>
    <row r="3" spans="2:29" ht="13.5" customHeight="1">
      <c r="B3" s="159"/>
      <c r="C3" s="160" t="s">
        <v>352</v>
      </c>
      <c r="D3" s="160"/>
      <c r="E3" s="160"/>
      <c r="F3" s="159"/>
      <c r="G3" s="159"/>
      <c r="H3" s="159"/>
      <c r="I3" s="159"/>
      <c r="J3" s="159"/>
    </row>
    <row r="4" spans="2:29" ht="13.5" customHeight="1">
      <c r="B4" s="159"/>
      <c r="C4" s="160"/>
      <c r="D4" s="160"/>
      <c r="E4" s="160"/>
      <c r="F4" s="159"/>
      <c r="G4" s="159"/>
      <c r="H4" s="159"/>
      <c r="I4" s="159"/>
      <c r="J4" s="159"/>
    </row>
    <row r="5" spans="2:29" ht="13.5" customHeight="1">
      <c r="B5" s="161" t="s">
        <v>353</v>
      </c>
      <c r="F5" s="159"/>
      <c r="G5" s="159"/>
      <c r="H5" s="159"/>
      <c r="I5" s="159"/>
      <c r="J5" s="159"/>
      <c r="Y5"/>
      <c r="Z5"/>
      <c r="AA5"/>
      <c r="AB5"/>
      <c r="AC5"/>
    </row>
    <row r="6" spans="2:29" ht="13.5" customHeight="1">
      <c r="B6" s="161"/>
      <c r="C6" s="541" t="s">
        <v>462</v>
      </c>
      <c r="D6" s="542"/>
      <c r="E6" s="542"/>
      <c r="F6" s="542"/>
      <c r="G6" s="542"/>
      <c r="H6" s="542"/>
      <c r="I6" s="542"/>
      <c r="J6" s="542"/>
      <c r="K6" s="542"/>
      <c r="L6" s="543"/>
      <c r="M6" s="551" t="s">
        <v>521</v>
      </c>
      <c r="N6" s="551"/>
      <c r="O6" s="551"/>
      <c r="P6" s="551"/>
      <c r="Q6" s="551"/>
      <c r="R6" s="551"/>
      <c r="S6" s="551"/>
      <c r="T6" s="551"/>
      <c r="U6" s="586" t="s">
        <v>292</v>
      </c>
      <c r="Y6"/>
      <c r="Z6"/>
      <c r="AA6"/>
      <c r="AB6"/>
      <c r="AC6"/>
    </row>
    <row r="7" spans="2:29" ht="13.5" customHeight="1">
      <c r="B7" s="161"/>
      <c r="C7" s="551" t="s">
        <v>355</v>
      </c>
      <c r="D7" s="551"/>
      <c r="E7" s="551"/>
      <c r="F7" s="551"/>
      <c r="G7" s="551"/>
      <c r="H7" s="551"/>
      <c r="I7" s="552" t="s">
        <v>356</v>
      </c>
      <c r="J7" s="552"/>
      <c r="K7" s="568" t="s">
        <v>357</v>
      </c>
      <c r="L7" s="570"/>
      <c r="M7" s="557" t="s">
        <v>522</v>
      </c>
      <c r="N7" s="551" t="s">
        <v>355</v>
      </c>
      <c r="O7" s="551"/>
      <c r="P7" s="551"/>
      <c r="Q7" s="552" t="str">
        <f>I7</f>
        <v>根太間隔</v>
      </c>
      <c r="R7" s="552"/>
      <c r="S7" s="552" t="str">
        <f>K7</f>
        <v>根太スパン</v>
      </c>
      <c r="T7" s="552"/>
      <c r="U7" s="545"/>
      <c r="Y7"/>
      <c r="Z7"/>
      <c r="AA7"/>
      <c r="AB7"/>
      <c r="AC7"/>
    </row>
    <row r="8" spans="2:29" ht="13.5" customHeight="1">
      <c r="B8" s="161"/>
      <c r="C8" s="284" t="s">
        <v>358</v>
      </c>
      <c r="D8" s="541" t="s">
        <v>359</v>
      </c>
      <c r="E8" s="542"/>
      <c r="F8" s="543"/>
      <c r="G8" s="541" t="s">
        <v>156</v>
      </c>
      <c r="H8" s="543"/>
      <c r="I8" s="558" t="s">
        <v>360</v>
      </c>
      <c r="J8" s="558"/>
      <c r="K8" s="558" t="s">
        <v>360</v>
      </c>
      <c r="L8" s="558"/>
      <c r="M8" s="551"/>
      <c r="N8" s="284" t="s">
        <v>358</v>
      </c>
      <c r="O8" s="284" t="s">
        <v>359</v>
      </c>
      <c r="P8" s="284" t="s">
        <v>156</v>
      </c>
      <c r="Q8" s="558" t="s">
        <v>360</v>
      </c>
      <c r="R8" s="558"/>
      <c r="S8" s="558" t="s">
        <v>360</v>
      </c>
      <c r="T8" s="558"/>
      <c r="U8" s="546"/>
      <c r="Y8"/>
      <c r="Z8"/>
      <c r="AA8"/>
      <c r="AB8"/>
      <c r="AC8"/>
    </row>
    <row r="9" spans="2:29" ht="13.5" customHeight="1">
      <c r="B9" s="161"/>
      <c r="C9" s="257"/>
      <c r="D9" s="554"/>
      <c r="E9" s="535"/>
      <c r="F9" s="536"/>
      <c r="G9" s="554"/>
      <c r="H9" s="536"/>
      <c r="I9" s="534"/>
      <c r="J9" s="534"/>
      <c r="K9" s="554"/>
      <c r="L9" s="535"/>
      <c r="M9" s="255" t="str">
        <f>IF(P9="杉","P25表1",IF(P9="桧","P25表2",""))</f>
        <v/>
      </c>
      <c r="N9" s="257" t="s">
        <v>296</v>
      </c>
      <c r="O9" s="257" t="s">
        <v>296</v>
      </c>
      <c r="P9" s="257" t="s">
        <v>490</v>
      </c>
      <c r="Q9" s="534" t="s">
        <v>296</v>
      </c>
      <c r="R9" s="534"/>
      <c r="S9" s="554"/>
      <c r="T9" s="536"/>
      <c r="U9" s="258" t="str">
        <f>IF(C9="","",IF(AND(G9=P9,C9&gt;=N9,D9&gt;=O9,I9&lt;=Q9,K9&lt;=S9),"OK","NG"))</f>
        <v/>
      </c>
      <c r="Y9"/>
      <c r="Z9"/>
      <c r="AA9"/>
      <c r="AB9"/>
      <c r="AC9"/>
    </row>
    <row r="10" spans="2:29" ht="13.5" customHeight="1">
      <c r="B10" s="161"/>
      <c r="C10" s="257"/>
      <c r="D10" s="554"/>
      <c r="E10" s="535"/>
      <c r="F10" s="536"/>
      <c r="G10" s="554"/>
      <c r="H10" s="536"/>
      <c r="I10" s="534"/>
      <c r="J10" s="534"/>
      <c r="K10" s="554"/>
      <c r="L10" s="535"/>
      <c r="M10" s="255" t="str">
        <f>IF(P10="杉","P25表1",IF(P10="桧","P25表2",""))</f>
        <v/>
      </c>
      <c r="N10" s="257" t="s">
        <v>296</v>
      </c>
      <c r="O10" s="257"/>
      <c r="P10" s="257"/>
      <c r="Q10" s="534"/>
      <c r="R10" s="534"/>
      <c r="S10" s="554"/>
      <c r="T10" s="536"/>
      <c r="U10" s="258" t="str">
        <f>IF(C10="","",IF(AND(G10=P10,C10&gt;=N10,D10&gt;=O10,I10&lt;=Q10,K10&lt;=S10),"OK","NG"))</f>
        <v/>
      </c>
      <c r="Y10"/>
      <c r="Z10"/>
      <c r="AA10"/>
      <c r="AB10"/>
      <c r="AC10"/>
    </row>
    <row r="11" spans="2:29" ht="13.5" customHeight="1">
      <c r="B11" s="161"/>
      <c r="C11" s="257"/>
      <c r="D11" s="554"/>
      <c r="E11" s="535"/>
      <c r="F11" s="536"/>
      <c r="G11" s="554"/>
      <c r="H11" s="536"/>
      <c r="I11" s="534"/>
      <c r="J11" s="534"/>
      <c r="K11" s="554"/>
      <c r="L11" s="535"/>
      <c r="M11" s="255" t="str">
        <f>IF(P11="杉","P25表1",IF(P11="桧","P25表2",""))</f>
        <v/>
      </c>
      <c r="N11" s="257" t="s">
        <v>296</v>
      </c>
      <c r="O11" s="257"/>
      <c r="P11" s="257"/>
      <c r="Q11" s="534"/>
      <c r="R11" s="534"/>
      <c r="S11" s="554"/>
      <c r="T11" s="536"/>
      <c r="U11" s="258" t="str">
        <f>IF(C11="","",IF(AND(G11=P11,C11&gt;=N11,D11&gt;=O11,I11&lt;=Q11,K11&lt;=S11),"OK","NG"))</f>
        <v/>
      </c>
      <c r="Y11"/>
      <c r="Z11"/>
      <c r="AA11"/>
      <c r="AB11"/>
      <c r="AC11"/>
    </row>
    <row r="12" spans="2:29" ht="13.5" customHeight="1">
      <c r="B12" s="161"/>
      <c r="C12" s="162"/>
      <c r="D12" s="162"/>
      <c r="E12" s="162"/>
      <c r="F12" s="162"/>
      <c r="G12" s="162"/>
      <c r="H12" s="162"/>
      <c r="J12" s="162"/>
      <c r="K12" s="162"/>
      <c r="L12" s="162"/>
      <c r="M12" s="162"/>
      <c r="N12" s="162"/>
      <c r="O12" s="162"/>
      <c r="P12" s="162"/>
      <c r="R12" s="162"/>
      <c r="S12" s="162"/>
      <c r="T12" s="162"/>
      <c r="U12" s="162"/>
      <c r="V12" s="162"/>
      <c r="Y12"/>
      <c r="Z12"/>
      <c r="AA12"/>
      <c r="AB12"/>
      <c r="AC12"/>
    </row>
    <row r="13" spans="2:29" ht="13.5" customHeight="1">
      <c r="B13" s="159"/>
      <c r="C13" s="160"/>
      <c r="D13" s="160"/>
      <c r="E13" s="160"/>
      <c r="F13" s="159"/>
      <c r="G13" s="159"/>
      <c r="H13" s="159"/>
      <c r="I13" s="159"/>
      <c r="J13" s="159"/>
      <c r="Y13"/>
      <c r="Z13"/>
      <c r="AA13"/>
      <c r="AB13"/>
      <c r="AC13"/>
    </row>
    <row r="14" spans="2:29" ht="13.5" customHeight="1">
      <c r="B14" s="161" t="s">
        <v>361</v>
      </c>
      <c r="F14" s="159"/>
      <c r="G14" s="159"/>
      <c r="H14" s="159"/>
      <c r="I14" s="159"/>
      <c r="J14" s="159"/>
      <c r="Y14"/>
      <c r="Z14"/>
      <c r="AA14"/>
      <c r="AB14"/>
      <c r="AC14"/>
    </row>
    <row r="15" spans="2:29" ht="13.5" customHeight="1">
      <c r="B15" s="161"/>
      <c r="C15" s="551" t="s">
        <v>462</v>
      </c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 t="s">
        <v>521</v>
      </c>
      <c r="O15" s="551"/>
      <c r="P15" s="551"/>
      <c r="Q15" s="551"/>
      <c r="R15" s="551"/>
      <c r="S15" s="551"/>
      <c r="T15" s="551"/>
      <c r="U15" s="551"/>
      <c r="V15" s="551"/>
      <c r="W15" s="552" t="s">
        <v>292</v>
      </c>
      <c r="Y15"/>
      <c r="Z15"/>
      <c r="AA15"/>
      <c r="AB15"/>
      <c r="AC15"/>
    </row>
    <row r="16" spans="2:29" ht="13.5" customHeight="1">
      <c r="B16" s="161"/>
      <c r="C16" s="551" t="s">
        <v>355</v>
      </c>
      <c r="D16" s="551"/>
      <c r="E16" s="551"/>
      <c r="F16" s="551"/>
      <c r="G16" s="551"/>
      <c r="H16" s="551"/>
      <c r="I16" s="568" t="s">
        <v>30</v>
      </c>
      <c r="J16" s="552" t="s">
        <v>362</v>
      </c>
      <c r="K16" s="552"/>
      <c r="L16" s="568" t="s">
        <v>363</v>
      </c>
      <c r="M16" s="570"/>
      <c r="N16" s="557" t="s">
        <v>522</v>
      </c>
      <c r="O16" s="551" t="s">
        <v>355</v>
      </c>
      <c r="P16" s="551"/>
      <c r="Q16" s="551"/>
      <c r="R16" s="551" t="s">
        <v>30</v>
      </c>
      <c r="S16" s="552" t="s">
        <v>362</v>
      </c>
      <c r="T16" s="552"/>
      <c r="U16" s="552" t="s">
        <v>363</v>
      </c>
      <c r="V16" s="552"/>
      <c r="W16" s="553"/>
      <c r="Y16"/>
      <c r="Z16"/>
      <c r="AA16"/>
      <c r="AB16"/>
    </row>
    <row r="17" spans="2:29" ht="13.5" customHeight="1">
      <c r="B17" s="161"/>
      <c r="C17" s="284" t="s">
        <v>358</v>
      </c>
      <c r="D17" s="541" t="s">
        <v>359</v>
      </c>
      <c r="E17" s="542"/>
      <c r="F17" s="543"/>
      <c r="G17" s="541" t="s">
        <v>156</v>
      </c>
      <c r="H17" s="543"/>
      <c r="I17" s="549"/>
      <c r="J17" s="558" t="s">
        <v>360</v>
      </c>
      <c r="K17" s="558"/>
      <c r="L17" s="558" t="s">
        <v>360</v>
      </c>
      <c r="M17" s="558"/>
      <c r="N17" s="551"/>
      <c r="O17" s="284" t="s">
        <v>358</v>
      </c>
      <c r="P17" s="284" t="s">
        <v>359</v>
      </c>
      <c r="Q17" s="284" t="s">
        <v>156</v>
      </c>
      <c r="R17" s="551"/>
      <c r="S17" s="558" t="s">
        <v>360</v>
      </c>
      <c r="T17" s="558"/>
      <c r="U17" s="558" t="s">
        <v>360</v>
      </c>
      <c r="V17" s="558"/>
      <c r="W17" s="558"/>
      <c r="Y17"/>
      <c r="Z17"/>
      <c r="AA17"/>
      <c r="AB17"/>
    </row>
    <row r="18" spans="2:29" ht="13.5" customHeight="1">
      <c r="B18" s="161"/>
      <c r="C18" s="257"/>
      <c r="D18" s="554"/>
      <c r="E18" s="535"/>
      <c r="F18" s="536"/>
      <c r="G18" s="554"/>
      <c r="H18" s="536"/>
      <c r="I18" s="259"/>
      <c r="J18" s="534"/>
      <c r="K18" s="534"/>
      <c r="L18" s="554"/>
      <c r="M18" s="535"/>
      <c r="N18" s="279" t="str">
        <f>IF(Q18="杉","P27表3",IF(Q18="桧","P27表4",""))</f>
        <v/>
      </c>
      <c r="O18" s="257"/>
      <c r="P18" s="257"/>
      <c r="Q18" s="257" t="s">
        <v>296</v>
      </c>
      <c r="R18" s="259" t="s">
        <v>296</v>
      </c>
      <c r="S18" s="534" t="s">
        <v>296</v>
      </c>
      <c r="T18" s="534"/>
      <c r="U18" s="554"/>
      <c r="V18" s="536"/>
      <c r="W18" s="258" t="str">
        <f>IF(C18="","",IF(AND(G18=Q18,I18=R18,C18&gt;=O18,D18&gt;=P18,J18&lt;=S18,L18&lt;=U18),"OK","NG"))</f>
        <v/>
      </c>
      <c r="Y18"/>
      <c r="Z18"/>
      <c r="AA18"/>
      <c r="AB18"/>
    </row>
    <row r="19" spans="2:29" ht="13.5" customHeight="1">
      <c r="B19" s="161"/>
      <c r="C19" s="257"/>
      <c r="D19" s="554"/>
      <c r="E19" s="535"/>
      <c r="F19" s="536"/>
      <c r="G19" s="554"/>
      <c r="H19" s="536"/>
      <c r="I19" s="259"/>
      <c r="J19" s="534"/>
      <c r="K19" s="534"/>
      <c r="L19" s="554"/>
      <c r="M19" s="535"/>
      <c r="N19" s="279" t="str">
        <f>IF(Q19="杉","P27表3",IF(Q19="桧","P27表4",""))</f>
        <v/>
      </c>
      <c r="O19" s="257"/>
      <c r="P19" s="257"/>
      <c r="Q19" s="257"/>
      <c r="R19" s="259" t="s">
        <v>296</v>
      </c>
      <c r="S19" s="534"/>
      <c r="T19" s="534"/>
      <c r="U19" s="554"/>
      <c r="V19" s="536"/>
      <c r="W19" s="258" t="str">
        <f>IF(C19="","",IF(AND(G19=Q19,I19=R19,C19&gt;=O19,D19&gt;=P19,J19&lt;=S19,L19&lt;=U19),"OK","NG"))</f>
        <v/>
      </c>
      <c r="Y19"/>
      <c r="Z19"/>
      <c r="AA19"/>
      <c r="AB19"/>
    </row>
    <row r="20" spans="2:29" ht="13.5" customHeight="1">
      <c r="B20" s="161"/>
      <c r="C20" s="257"/>
      <c r="D20" s="554"/>
      <c r="E20" s="535"/>
      <c r="F20" s="536"/>
      <c r="G20" s="554"/>
      <c r="H20" s="536"/>
      <c r="I20" s="259"/>
      <c r="J20" s="534"/>
      <c r="K20" s="534"/>
      <c r="L20" s="554"/>
      <c r="M20" s="535"/>
      <c r="N20" s="279" t="str">
        <f t="shared" ref="N20" si="0">IF(Q20="杉","P27表3",IF(Q20="桧","P27表4",""))</f>
        <v/>
      </c>
      <c r="O20" s="257"/>
      <c r="P20" s="257"/>
      <c r="Q20" s="257"/>
      <c r="R20" s="259" t="s">
        <v>296</v>
      </c>
      <c r="S20" s="534"/>
      <c r="T20" s="534"/>
      <c r="U20" s="554"/>
      <c r="V20" s="536"/>
      <c r="W20" s="258" t="str">
        <f>IF(C20="","",IF(AND(G20=Q20,I20=R20,C20&gt;=O20,D20&gt;=P20,J20&lt;=S20,L20&lt;=U20),"OK","NG"))</f>
        <v/>
      </c>
      <c r="Y20"/>
      <c r="Z20"/>
      <c r="AA20"/>
      <c r="AB20"/>
    </row>
    <row r="21" spans="2:29" ht="13.5" customHeight="1">
      <c r="F21" s="159"/>
      <c r="G21" s="159"/>
      <c r="H21" s="159"/>
      <c r="I21" s="159"/>
      <c r="J21" s="159"/>
      <c r="Y21"/>
      <c r="Z21"/>
      <c r="AA21"/>
      <c r="AB21"/>
    </row>
    <row r="22" spans="2:29" ht="13.5" customHeight="1">
      <c r="B22" s="161"/>
      <c r="F22" s="159"/>
      <c r="G22" s="159"/>
      <c r="Y22"/>
      <c r="Z22"/>
      <c r="AA22"/>
      <c r="AB22"/>
      <c r="AC22"/>
    </row>
    <row r="23" spans="2:29" ht="13.5" customHeight="1">
      <c r="B23" s="161" t="s">
        <v>364</v>
      </c>
      <c r="F23" s="159"/>
      <c r="G23" s="159"/>
      <c r="Y23"/>
      <c r="Z23"/>
      <c r="AA23"/>
      <c r="AB23"/>
      <c r="AC23"/>
    </row>
    <row r="24" spans="2:29" ht="13.5" customHeight="1">
      <c r="B24" s="161"/>
      <c r="C24" s="551" t="s">
        <v>462</v>
      </c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 t="s">
        <v>521</v>
      </c>
      <c r="O24" s="551"/>
      <c r="P24" s="551"/>
      <c r="Q24" s="551"/>
      <c r="R24" s="551"/>
      <c r="S24" s="551"/>
      <c r="T24" s="551"/>
      <c r="U24" s="551"/>
      <c r="V24" s="551"/>
      <c r="W24" s="552" t="s">
        <v>292</v>
      </c>
      <c r="Y24"/>
      <c r="Z24"/>
      <c r="AA24"/>
      <c r="AB24"/>
      <c r="AC24"/>
    </row>
    <row r="25" spans="2:29" ht="13.5" customHeight="1">
      <c r="B25" s="161"/>
      <c r="C25" s="541" t="s">
        <v>355</v>
      </c>
      <c r="D25" s="542"/>
      <c r="E25" s="542"/>
      <c r="F25" s="542"/>
      <c r="G25" s="542"/>
      <c r="H25" s="543"/>
      <c r="I25" s="551" t="s">
        <v>365</v>
      </c>
      <c r="J25" s="552" t="s">
        <v>366</v>
      </c>
      <c r="K25" s="552"/>
      <c r="L25" s="568" t="s">
        <v>367</v>
      </c>
      <c r="M25" s="570"/>
      <c r="N25" s="557" t="s">
        <v>522</v>
      </c>
      <c r="O25" s="551" t="s">
        <v>355</v>
      </c>
      <c r="P25" s="551"/>
      <c r="Q25" s="551"/>
      <c r="R25" s="551" t="s">
        <v>365</v>
      </c>
      <c r="S25" s="552" t="s">
        <v>366</v>
      </c>
      <c r="T25" s="552"/>
      <c r="U25" s="552" t="s">
        <v>367</v>
      </c>
      <c r="V25" s="552"/>
      <c r="W25" s="553"/>
      <c r="Y25"/>
      <c r="Z25"/>
      <c r="AA25"/>
      <c r="AB25"/>
      <c r="AC25"/>
    </row>
    <row r="26" spans="2:29" ht="13.5" customHeight="1">
      <c r="C26" s="284" t="s">
        <v>358</v>
      </c>
      <c r="D26" s="541" t="s">
        <v>359</v>
      </c>
      <c r="E26" s="542"/>
      <c r="F26" s="543"/>
      <c r="G26" s="541" t="s">
        <v>156</v>
      </c>
      <c r="H26" s="543"/>
      <c r="I26" s="551"/>
      <c r="J26" s="558" t="s">
        <v>360</v>
      </c>
      <c r="K26" s="558"/>
      <c r="L26" s="558" t="s">
        <v>360</v>
      </c>
      <c r="M26" s="558"/>
      <c r="N26" s="551"/>
      <c r="O26" s="284" t="s">
        <v>358</v>
      </c>
      <c r="P26" s="284" t="s">
        <v>359</v>
      </c>
      <c r="Q26" s="284" t="s">
        <v>156</v>
      </c>
      <c r="R26" s="551"/>
      <c r="S26" s="558" t="s">
        <v>360</v>
      </c>
      <c r="T26" s="558"/>
      <c r="U26" s="558" t="s">
        <v>360</v>
      </c>
      <c r="V26" s="558"/>
      <c r="W26" s="558"/>
      <c r="Y26"/>
      <c r="Z26"/>
      <c r="AA26"/>
      <c r="AB26"/>
      <c r="AC26"/>
    </row>
    <row r="27" spans="2:29" ht="13.5" customHeight="1">
      <c r="B27" s="161"/>
      <c r="C27" s="257"/>
      <c r="D27" s="554"/>
      <c r="E27" s="535"/>
      <c r="F27" s="536"/>
      <c r="G27" s="554"/>
      <c r="H27" s="536"/>
      <c r="I27" s="257"/>
      <c r="J27" s="534"/>
      <c r="K27" s="534"/>
      <c r="L27" s="554"/>
      <c r="M27" s="535"/>
      <c r="N27" s="279" t="str">
        <f>IF(R27="瓦","P30表5",IF(R27="スレート","P30表6",IF(R27="鋼板","P30表7","")))</f>
        <v/>
      </c>
      <c r="O27" s="257"/>
      <c r="P27" s="257" t="s">
        <v>296</v>
      </c>
      <c r="Q27" s="257"/>
      <c r="R27" s="257" t="s">
        <v>296</v>
      </c>
      <c r="S27" s="534" t="s">
        <v>296</v>
      </c>
      <c r="T27" s="534"/>
      <c r="U27" s="534"/>
      <c r="V27" s="534"/>
      <c r="W27" s="258" t="str">
        <f>IF(C27="","",IF(AND(C27&gt;=O27,D27&gt;=P27,J27&lt;=S27,L27&lt;=U27,I27=R27,G27=Q27),"OK","NG"))</f>
        <v/>
      </c>
      <c r="Y27"/>
      <c r="Z27"/>
      <c r="AA27"/>
      <c r="AB27"/>
      <c r="AC27"/>
    </row>
    <row r="28" spans="2:29" ht="13.5" customHeight="1">
      <c r="B28" s="161"/>
      <c r="C28" s="257"/>
      <c r="D28" s="554"/>
      <c r="E28" s="535"/>
      <c r="F28" s="536"/>
      <c r="G28" s="554"/>
      <c r="H28" s="536"/>
      <c r="I28" s="257"/>
      <c r="J28" s="534"/>
      <c r="K28" s="534"/>
      <c r="L28" s="554"/>
      <c r="M28" s="535"/>
      <c r="N28" s="279" t="str">
        <f t="shared" ref="N28:N30" si="1">IF(R28="瓦","P30表5",IF(R28="スレート","P30表6",IF(R28="鋼板","P30表7","")))</f>
        <v/>
      </c>
      <c r="O28" s="257"/>
      <c r="P28" s="257" t="s">
        <v>296</v>
      </c>
      <c r="Q28" s="257"/>
      <c r="R28" s="257" t="s">
        <v>296</v>
      </c>
      <c r="S28" s="534" t="s">
        <v>296</v>
      </c>
      <c r="T28" s="534"/>
      <c r="U28" s="534"/>
      <c r="V28" s="534"/>
      <c r="W28" s="258" t="str">
        <f>IF(C28="","",IF(AND(C28&gt;=O28,D28&gt;=P28,J28&lt;=S28,L28&lt;=U28,I28=R28,G28=Q28),"OK","NG"))</f>
        <v/>
      </c>
      <c r="Y28"/>
      <c r="Z28"/>
      <c r="AA28"/>
      <c r="AB28"/>
      <c r="AC28"/>
    </row>
    <row r="29" spans="2:29" ht="13.5" customHeight="1">
      <c r="B29" s="161"/>
      <c r="C29" s="257"/>
      <c r="D29" s="554"/>
      <c r="E29" s="535"/>
      <c r="F29" s="536"/>
      <c r="G29" s="554"/>
      <c r="H29" s="536"/>
      <c r="I29" s="257"/>
      <c r="J29" s="534"/>
      <c r="K29" s="534"/>
      <c r="L29" s="554"/>
      <c r="M29" s="535"/>
      <c r="N29" s="279" t="str">
        <f t="shared" si="1"/>
        <v/>
      </c>
      <c r="O29" s="257"/>
      <c r="P29" s="257"/>
      <c r="Q29" s="257"/>
      <c r="R29" s="257"/>
      <c r="S29" s="534"/>
      <c r="T29" s="534"/>
      <c r="U29" s="534"/>
      <c r="V29" s="534"/>
      <c r="W29" s="258" t="str">
        <f>IF(C29="","",IF(AND(C29&gt;=O29,D29&gt;=P29,J29&lt;=S29,L29&lt;=U29,I29=R29,G29=Q29),"OK","NG"))</f>
        <v/>
      </c>
      <c r="Y29"/>
      <c r="Z29"/>
      <c r="AA29"/>
      <c r="AB29"/>
      <c r="AC29"/>
    </row>
    <row r="30" spans="2:29" ht="13.5" customHeight="1">
      <c r="B30" s="161"/>
      <c r="C30" s="257"/>
      <c r="D30" s="554"/>
      <c r="E30" s="535"/>
      <c r="F30" s="536"/>
      <c r="G30" s="554"/>
      <c r="H30" s="536"/>
      <c r="I30" s="257"/>
      <c r="J30" s="534"/>
      <c r="K30" s="534"/>
      <c r="L30" s="554"/>
      <c r="M30" s="535"/>
      <c r="N30" s="279" t="str">
        <f t="shared" si="1"/>
        <v/>
      </c>
      <c r="O30" s="257"/>
      <c r="P30" s="257"/>
      <c r="Q30" s="257"/>
      <c r="R30" s="257"/>
      <c r="S30" s="534"/>
      <c r="T30" s="534"/>
      <c r="U30" s="554"/>
      <c r="V30" s="536"/>
      <c r="W30" s="258" t="str">
        <f>IF(C30="","",IF(AND(C30&gt;=O30,D30&gt;=P30,J30&lt;=S30,L30&lt;=U30,I30=R30,G30=Q30),"OK","NG"))</f>
        <v/>
      </c>
      <c r="Y30"/>
      <c r="Z30"/>
      <c r="AA30"/>
      <c r="AB30"/>
      <c r="AC30"/>
    </row>
    <row r="31" spans="2:29" ht="13.5" customHeight="1">
      <c r="B31" s="161"/>
      <c r="F31" s="159"/>
      <c r="G31" s="159"/>
      <c r="Y31"/>
      <c r="Z31"/>
      <c r="AA31"/>
      <c r="AB31"/>
      <c r="AC31"/>
    </row>
    <row r="32" spans="2:29" ht="13.5" customHeight="1">
      <c r="B32" s="161"/>
      <c r="F32" s="159"/>
      <c r="G32" s="159"/>
      <c r="Y32"/>
      <c r="Z32"/>
      <c r="AA32"/>
      <c r="AB32"/>
      <c r="AC32"/>
    </row>
    <row r="33" spans="2:29" ht="13.5" customHeight="1">
      <c r="B33" s="161" t="s">
        <v>368</v>
      </c>
      <c r="F33" s="159"/>
      <c r="G33" s="159"/>
      <c r="Y33"/>
      <c r="Z33"/>
      <c r="AA33"/>
      <c r="AB33"/>
      <c r="AC33"/>
    </row>
    <row r="34" spans="2:29" ht="13.5" customHeight="1">
      <c r="B34" s="161"/>
      <c r="C34" s="568" t="s">
        <v>462</v>
      </c>
      <c r="D34" s="569"/>
      <c r="E34" s="569"/>
      <c r="F34" s="569"/>
      <c r="G34" s="569"/>
      <c r="H34" s="569"/>
      <c r="I34" s="569"/>
      <c r="J34" s="569"/>
      <c r="K34" s="569"/>
      <c r="L34" s="551" t="s">
        <v>521</v>
      </c>
      <c r="M34" s="551"/>
      <c r="N34" s="551"/>
      <c r="O34" s="551"/>
      <c r="P34" s="551"/>
      <c r="Q34" s="551"/>
      <c r="R34" s="551"/>
      <c r="S34" s="551"/>
      <c r="T34" s="551"/>
      <c r="U34" s="552" t="s">
        <v>292</v>
      </c>
    </row>
    <row r="35" spans="2:29" ht="13.5" customHeight="1">
      <c r="B35" s="161"/>
      <c r="C35" s="541" t="s">
        <v>355</v>
      </c>
      <c r="D35" s="542"/>
      <c r="E35" s="542"/>
      <c r="F35" s="542"/>
      <c r="G35" s="542"/>
      <c r="H35" s="543"/>
      <c r="I35" s="551" t="s">
        <v>365</v>
      </c>
      <c r="J35" s="287" t="s">
        <v>313</v>
      </c>
      <c r="K35" s="288" t="s">
        <v>312</v>
      </c>
      <c r="L35" s="557" t="s">
        <v>522</v>
      </c>
      <c r="M35" s="551" t="s">
        <v>355</v>
      </c>
      <c r="N35" s="551"/>
      <c r="O35" s="551"/>
      <c r="P35" s="551" t="s">
        <v>365</v>
      </c>
      <c r="Q35" s="297" t="s">
        <v>313</v>
      </c>
      <c r="R35" s="552" t="s">
        <v>312</v>
      </c>
      <c r="S35" s="552"/>
      <c r="T35" s="552"/>
      <c r="U35" s="553"/>
    </row>
    <row r="36" spans="2:29" ht="13.5" customHeight="1">
      <c r="B36" s="161"/>
      <c r="C36" s="284" t="s">
        <v>358</v>
      </c>
      <c r="D36" s="541" t="s">
        <v>359</v>
      </c>
      <c r="E36" s="542"/>
      <c r="F36" s="543"/>
      <c r="G36" s="541" t="s">
        <v>156</v>
      </c>
      <c r="H36" s="543"/>
      <c r="I36" s="551"/>
      <c r="J36" s="289" t="s">
        <v>360</v>
      </c>
      <c r="K36" s="290" t="s">
        <v>360</v>
      </c>
      <c r="L36" s="551"/>
      <c r="M36" s="284" t="s">
        <v>358</v>
      </c>
      <c r="N36" s="284" t="s">
        <v>359</v>
      </c>
      <c r="O36" s="284" t="s">
        <v>156</v>
      </c>
      <c r="P36" s="551"/>
      <c r="Q36" s="298" t="s">
        <v>360</v>
      </c>
      <c r="R36" s="299" t="s">
        <v>360</v>
      </c>
      <c r="S36" s="295"/>
      <c r="T36" s="296" t="s">
        <v>360</v>
      </c>
      <c r="U36" s="558"/>
    </row>
    <row r="37" spans="2:29" ht="13.5" customHeight="1">
      <c r="B37" s="159"/>
      <c r="C37" s="257"/>
      <c r="D37" s="554"/>
      <c r="E37" s="535"/>
      <c r="F37" s="536"/>
      <c r="G37" s="554"/>
      <c r="H37" s="536"/>
      <c r="I37" s="257"/>
      <c r="J37" s="257"/>
      <c r="K37" s="260"/>
      <c r="L37" s="279" t="str">
        <f>IF(P37="瓦","P34表8",IF(P37="スレート","P34表9",IF(P37="鋼板","P34表10","")))</f>
        <v/>
      </c>
      <c r="M37" s="257"/>
      <c r="N37" s="257" t="s">
        <v>296</v>
      </c>
      <c r="O37" s="257"/>
      <c r="P37" s="257" t="s">
        <v>296</v>
      </c>
      <c r="Q37" s="257" t="s">
        <v>296</v>
      </c>
      <c r="R37" s="280"/>
      <c r="S37" s="257" t="s">
        <v>369</v>
      </c>
      <c r="T37" s="265"/>
      <c r="U37" s="258" t="str">
        <f>IF(C37="","",IF(R37="",IF(AND(C37&gt;=M37,D37&gt;=N37,G37=O37,I37=P37,J37&lt;=Q37,K37&lt;=T37),"OK","NG"),IF(AND(C37&gt;=M37,D37&gt;=N37,G37=O37,I37=P37,J37&lt;=Q37,R37&lt;=K37,K37&lt;=T37),"OK","NG")))</f>
        <v/>
      </c>
    </row>
    <row r="38" spans="2:29" ht="13.5" customHeight="1">
      <c r="B38" s="159"/>
      <c r="C38" s="257"/>
      <c r="D38" s="554"/>
      <c r="E38" s="535"/>
      <c r="F38" s="536"/>
      <c r="G38" s="554"/>
      <c r="H38" s="536"/>
      <c r="I38" s="257"/>
      <c r="J38" s="257"/>
      <c r="K38" s="260"/>
      <c r="L38" s="279" t="str">
        <f t="shared" ref="L38:L39" si="2">IF(P38="瓦","P34表8",IF(P38="スレート","P34表9",IF(P38="鋼板","P34表10","")))</f>
        <v/>
      </c>
      <c r="M38" s="257"/>
      <c r="N38" s="257"/>
      <c r="O38" s="257"/>
      <c r="P38" s="257"/>
      <c r="Q38" s="257" t="s">
        <v>296</v>
      </c>
      <c r="R38" s="280"/>
      <c r="S38" s="257" t="s">
        <v>369</v>
      </c>
      <c r="T38" s="265"/>
      <c r="U38" s="258" t="str">
        <f>IF(C38="","",IF(R38="",IF(AND(C38&gt;=M38,D38&gt;=N38,G38=O38,I38=P38,J38&lt;=Q38,K38&lt;=T38),"OK","NG"),IF(AND(C38&gt;=M38,D38&gt;=N38,G38=O38,I38=P38,J38&lt;=Q38,R38&lt;=K38,K38&lt;=T38),"OK","NG")))</f>
        <v/>
      </c>
    </row>
    <row r="39" spans="2:29" ht="13.5" customHeight="1">
      <c r="B39" s="159"/>
      <c r="C39" s="257"/>
      <c r="D39" s="554"/>
      <c r="E39" s="535"/>
      <c r="F39" s="536"/>
      <c r="G39" s="554"/>
      <c r="H39" s="536"/>
      <c r="I39" s="257"/>
      <c r="J39" s="257"/>
      <c r="K39" s="260"/>
      <c r="L39" s="279" t="str">
        <f t="shared" si="2"/>
        <v/>
      </c>
      <c r="M39" s="257"/>
      <c r="N39" s="257"/>
      <c r="O39" s="257"/>
      <c r="P39" s="257"/>
      <c r="Q39" s="257" t="s">
        <v>296</v>
      </c>
      <c r="R39" s="280"/>
      <c r="S39" s="257" t="s">
        <v>369</v>
      </c>
      <c r="T39" s="265"/>
      <c r="U39" s="258" t="str">
        <f>IF(C39="","",IF(R39="",IF(AND(C39&gt;=M39,D39&gt;=N39,G39=O39,I39=P39,J39&lt;=Q39,K39&lt;=T39),"OK","NG"),IF(AND(C39&gt;=M39,D39&gt;=N39,G39=O39,I39=P39,J39&lt;=Q39,R39&lt;=K39,K39&lt;=T39),"OK","NG")))</f>
        <v/>
      </c>
    </row>
    <row r="40" spans="2:29" ht="13.5" customHeight="1">
      <c r="B40" s="159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</row>
    <row r="41" spans="2:29" ht="13.5" customHeight="1"/>
    <row r="42" spans="2:29" ht="14.25">
      <c r="B42" s="161" t="s">
        <v>370</v>
      </c>
    </row>
    <row r="43" spans="2:29" ht="13.5" customHeight="1">
      <c r="B43" s="163"/>
      <c r="C43" s="158" t="s">
        <v>371</v>
      </c>
    </row>
    <row r="44" spans="2:29" ht="15.95" customHeight="1">
      <c r="B44" s="163"/>
    </row>
    <row r="45" spans="2:29" ht="15.95" customHeight="1">
      <c r="C45" s="578" t="s">
        <v>372</v>
      </c>
      <c r="D45" s="609"/>
      <c r="E45" s="609"/>
      <c r="F45" s="579"/>
      <c r="G45" s="578" t="s">
        <v>462</v>
      </c>
      <c r="H45" s="609"/>
      <c r="I45" s="609"/>
      <c r="J45" s="609"/>
      <c r="K45" s="609"/>
      <c r="L45" s="579"/>
      <c r="M45" s="539" t="s">
        <v>521</v>
      </c>
      <c r="N45" s="539"/>
      <c r="O45" s="539"/>
      <c r="P45" s="539"/>
      <c r="Q45" s="539"/>
      <c r="R45" s="539"/>
      <c r="S45" s="539"/>
      <c r="T45" s="587" t="s">
        <v>373</v>
      </c>
      <c r="U45" s="578" t="s">
        <v>178</v>
      </c>
      <c r="V45" s="579"/>
    </row>
    <row r="46" spans="2:29" ht="15.95" customHeight="1">
      <c r="C46" s="568" t="s">
        <v>163</v>
      </c>
      <c r="D46" s="570"/>
      <c r="E46" s="568" t="s">
        <v>31</v>
      </c>
      <c r="F46" s="570"/>
      <c r="G46" s="568" t="s">
        <v>374</v>
      </c>
      <c r="H46" s="570"/>
      <c r="I46" s="291" t="s">
        <v>312</v>
      </c>
      <c r="J46" s="292" t="s">
        <v>375</v>
      </c>
      <c r="K46" s="580" t="s">
        <v>376</v>
      </c>
      <c r="L46" s="581"/>
      <c r="M46" s="541" t="s">
        <v>522</v>
      </c>
      <c r="N46" s="543"/>
      <c r="O46" s="297" t="s">
        <v>374</v>
      </c>
      <c r="P46" s="297" t="s">
        <v>312</v>
      </c>
      <c r="Q46" s="297" t="s">
        <v>375</v>
      </c>
      <c r="R46" s="584" t="s">
        <v>376</v>
      </c>
      <c r="S46" s="584"/>
      <c r="T46" s="610"/>
      <c r="U46" s="578"/>
      <c r="V46" s="579"/>
    </row>
    <row r="47" spans="2:29" ht="15.95" customHeight="1">
      <c r="C47" s="547"/>
      <c r="D47" s="548"/>
      <c r="E47" s="547"/>
      <c r="F47" s="548"/>
      <c r="G47" s="549" t="s">
        <v>360</v>
      </c>
      <c r="H47" s="550"/>
      <c r="I47" s="289" t="s">
        <v>360</v>
      </c>
      <c r="J47" s="290" t="s">
        <v>360</v>
      </c>
      <c r="K47" s="582"/>
      <c r="L47" s="583"/>
      <c r="M47" s="541"/>
      <c r="N47" s="543"/>
      <c r="O47" s="298" t="s">
        <v>360</v>
      </c>
      <c r="P47" s="298" t="s">
        <v>360</v>
      </c>
      <c r="Q47" s="298" t="s">
        <v>360</v>
      </c>
      <c r="R47" s="584"/>
      <c r="S47" s="584"/>
      <c r="T47" s="611"/>
      <c r="U47" s="578"/>
      <c r="V47" s="579"/>
    </row>
    <row r="48" spans="2:29" ht="15.95" customHeight="1">
      <c r="C48" s="534"/>
      <c r="D48" s="534"/>
      <c r="E48" s="534"/>
      <c r="F48" s="534"/>
      <c r="G48" s="554"/>
      <c r="H48" s="536"/>
      <c r="I48" s="257"/>
      <c r="J48" s="257"/>
      <c r="K48" s="257"/>
      <c r="L48" s="257"/>
      <c r="M48" s="578" t="str">
        <f>IF(C48="屋根平部",IF(E48="重い屋根","P37(1)-1",IF(E48="軽い屋根","P38(2)-1",)),IF(C48="軒先部",IF(E48="重い屋根","P37(1)-2",IF(E48="軽い屋根","P38(2)-2",)),""))</f>
        <v/>
      </c>
      <c r="N48" s="579"/>
      <c r="O48" s="276"/>
      <c r="P48" s="276" t="s">
        <v>296</v>
      </c>
      <c r="Q48" s="276" t="s">
        <v>296</v>
      </c>
      <c r="R48" s="276" t="s">
        <v>296</v>
      </c>
      <c r="S48" s="276" t="s">
        <v>296</v>
      </c>
      <c r="T48" s="258" t="str">
        <f t="shared" ref="T48:T53" si="3">IF(C48="","",IF(I48="",IF(AND(G48&lt;=O48,J48&lt;=Q48,K48&gt;=R48,L48&gt;=S48),"OK","NG"),IF(G48="",IF(AND(I48&lt;=P48,J48&lt;=Q48,K48&gt;=R48,L48&gt;=S48),"OK","NG"))))</f>
        <v/>
      </c>
      <c r="U48" s="554"/>
      <c r="V48" s="536"/>
    </row>
    <row r="49" spans="1:23" ht="15.95" customHeight="1">
      <c r="C49" s="534"/>
      <c r="D49" s="534"/>
      <c r="E49" s="534"/>
      <c r="F49" s="534"/>
      <c r="G49" s="554"/>
      <c r="H49" s="536"/>
      <c r="I49" s="257"/>
      <c r="J49" s="257"/>
      <c r="K49" s="257"/>
      <c r="L49" s="257"/>
      <c r="M49" s="578" t="str">
        <f t="shared" ref="M49:M52" si="4">IF(C49="屋根平部",IF(E49="重い屋根","P37(1)-1",IF(E49="軽い屋根","P38(2)-1",)),IF(C49="軒先部",IF(E49="重い屋根","P37(1)-2",IF(E49="軽い屋根","P38(2)-2",)),""))</f>
        <v/>
      </c>
      <c r="N49" s="579"/>
      <c r="O49" s="257"/>
      <c r="P49" s="257" t="s">
        <v>296</v>
      </c>
      <c r="Q49" s="257" t="s">
        <v>296</v>
      </c>
      <c r="R49" s="257" t="s">
        <v>296</v>
      </c>
      <c r="S49" s="257" t="s">
        <v>296</v>
      </c>
      <c r="T49" s="258" t="str">
        <f t="shared" si="3"/>
        <v/>
      </c>
      <c r="U49" s="554"/>
      <c r="V49" s="536"/>
    </row>
    <row r="50" spans="1:23" ht="15.95" customHeight="1">
      <c r="C50" s="534"/>
      <c r="D50" s="534"/>
      <c r="E50" s="534"/>
      <c r="F50" s="534"/>
      <c r="G50" s="554"/>
      <c r="H50" s="536"/>
      <c r="I50" s="257"/>
      <c r="J50" s="257"/>
      <c r="K50" s="257"/>
      <c r="L50" s="257"/>
      <c r="M50" s="578" t="str">
        <f t="shared" si="4"/>
        <v/>
      </c>
      <c r="N50" s="579"/>
      <c r="O50" s="257" t="s">
        <v>296</v>
      </c>
      <c r="P50" s="257" t="s">
        <v>296</v>
      </c>
      <c r="Q50" s="257" t="s">
        <v>296</v>
      </c>
      <c r="R50" s="257" t="s">
        <v>296</v>
      </c>
      <c r="S50" s="257" t="s">
        <v>296</v>
      </c>
      <c r="T50" s="258" t="str">
        <f t="shared" si="3"/>
        <v/>
      </c>
      <c r="U50" s="554"/>
      <c r="V50" s="536"/>
    </row>
    <row r="51" spans="1:23" ht="15.95" customHeight="1">
      <c r="C51" s="534"/>
      <c r="D51" s="534"/>
      <c r="E51" s="534"/>
      <c r="F51" s="534"/>
      <c r="G51" s="554"/>
      <c r="H51" s="536"/>
      <c r="I51" s="257"/>
      <c r="J51" s="257"/>
      <c r="K51" s="257"/>
      <c r="L51" s="257"/>
      <c r="M51" s="578" t="str">
        <f t="shared" si="4"/>
        <v/>
      </c>
      <c r="N51" s="579"/>
      <c r="O51" s="257"/>
      <c r="P51" s="257" t="s">
        <v>296</v>
      </c>
      <c r="Q51" s="257" t="s">
        <v>296</v>
      </c>
      <c r="R51" s="257" t="s">
        <v>296</v>
      </c>
      <c r="S51" s="257" t="s">
        <v>296</v>
      </c>
      <c r="T51" s="258" t="str">
        <f t="shared" si="3"/>
        <v/>
      </c>
      <c r="U51" s="554"/>
      <c r="V51" s="536"/>
    </row>
    <row r="52" spans="1:23" ht="15.95" customHeight="1">
      <c r="C52" s="534"/>
      <c r="D52" s="534"/>
      <c r="E52" s="534"/>
      <c r="F52" s="534"/>
      <c r="G52" s="554"/>
      <c r="H52" s="536"/>
      <c r="I52" s="257"/>
      <c r="J52" s="257"/>
      <c r="K52" s="257"/>
      <c r="L52" s="257"/>
      <c r="M52" s="578" t="str">
        <f t="shared" si="4"/>
        <v/>
      </c>
      <c r="N52" s="579"/>
      <c r="O52" s="257"/>
      <c r="P52" s="257" t="s">
        <v>296</v>
      </c>
      <c r="Q52" s="257" t="s">
        <v>296</v>
      </c>
      <c r="R52" s="257" t="s">
        <v>296</v>
      </c>
      <c r="S52" s="257" t="s">
        <v>296</v>
      </c>
      <c r="T52" s="258" t="str">
        <f t="shared" si="3"/>
        <v/>
      </c>
      <c r="U52" s="554"/>
      <c r="V52" s="536"/>
    </row>
    <row r="53" spans="1:23" ht="15.95" customHeight="1">
      <c r="C53" s="534"/>
      <c r="D53" s="534"/>
      <c r="E53" s="534"/>
      <c r="F53" s="534"/>
      <c r="G53" s="554"/>
      <c r="H53" s="536"/>
      <c r="I53" s="257"/>
      <c r="J53" s="257"/>
      <c r="K53" s="257"/>
      <c r="L53" s="257"/>
      <c r="M53" s="578" t="str">
        <f t="shared" ref="M53" si="5">IF(C53="屋根平部",IF(E53="重い屋根","P37(1)-1",IF(E53="軽い屋根","P38(2)-1",)),IF(C53="軒先部",IF(E53="重い屋根","P37(1)-2",IF(E53="軽い屋根","P38(2)-2",)),""))</f>
        <v/>
      </c>
      <c r="N53" s="579"/>
      <c r="O53" s="257"/>
      <c r="P53" s="257" t="s">
        <v>296</v>
      </c>
      <c r="Q53" s="257" t="s">
        <v>296</v>
      </c>
      <c r="R53" s="257" t="s">
        <v>296</v>
      </c>
      <c r="S53" s="257" t="s">
        <v>296</v>
      </c>
      <c r="T53" s="258" t="str">
        <f t="shared" si="3"/>
        <v/>
      </c>
      <c r="U53" s="554"/>
      <c r="V53" s="536"/>
    </row>
    <row r="54" spans="1:23" ht="15.95" customHeight="1">
      <c r="A54" s="177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79"/>
      <c r="N54" s="164"/>
      <c r="O54" s="164"/>
      <c r="P54" s="164"/>
      <c r="Q54" s="164"/>
      <c r="R54" s="164"/>
      <c r="S54" s="164"/>
      <c r="T54" s="164"/>
      <c r="U54" s="164"/>
    </row>
    <row r="55" spans="1:23" ht="15.95" customHeight="1">
      <c r="A55" s="177"/>
      <c r="C55" s="164"/>
      <c r="D55" s="164"/>
      <c r="E55" s="164"/>
      <c r="F55" s="164"/>
      <c r="G55" s="164"/>
      <c r="H55" s="164"/>
      <c r="I55" s="164"/>
      <c r="J55" s="164"/>
      <c r="K55" s="179"/>
      <c r="L55" s="164"/>
      <c r="M55" s="164"/>
      <c r="N55" s="164"/>
      <c r="O55" s="164"/>
      <c r="P55" s="164"/>
      <c r="Q55" s="164"/>
      <c r="R55" s="164"/>
      <c r="S55" s="164"/>
    </row>
    <row r="56" spans="1:23" ht="15.95" customHeight="1">
      <c r="A56" s="177"/>
      <c r="B56" s="161" t="s">
        <v>519</v>
      </c>
      <c r="C56" s="164"/>
      <c r="D56" s="164"/>
      <c r="E56" s="164"/>
      <c r="F56" s="164"/>
      <c r="G56" s="164"/>
      <c r="H56" s="164"/>
      <c r="I56" s="164"/>
      <c r="J56" s="164"/>
      <c r="K56" s="179"/>
      <c r="L56" s="164"/>
    </row>
    <row r="57" spans="1:23" ht="15.95" customHeight="1">
      <c r="A57" s="177"/>
      <c r="C57" s="604" t="s">
        <v>382</v>
      </c>
      <c r="D57" s="605"/>
      <c r="E57" s="569" t="s">
        <v>31</v>
      </c>
      <c r="F57" s="570"/>
      <c r="G57" s="551" t="s">
        <v>462</v>
      </c>
      <c r="H57" s="551"/>
      <c r="I57" s="551"/>
      <c r="J57" s="551"/>
      <c r="K57" s="551"/>
      <c r="L57" s="551"/>
      <c r="M57" s="551"/>
      <c r="N57" s="551"/>
      <c r="O57" s="551" t="s">
        <v>521</v>
      </c>
      <c r="P57" s="551"/>
      <c r="Q57" s="551"/>
      <c r="R57" s="551"/>
      <c r="S57" s="551"/>
      <c r="T57" s="551"/>
      <c r="U57" s="551"/>
      <c r="V57" s="551"/>
      <c r="W57" s="552" t="s">
        <v>292</v>
      </c>
    </row>
    <row r="58" spans="1:23" ht="15.95" customHeight="1">
      <c r="A58" s="177"/>
      <c r="C58" s="606"/>
      <c r="D58" s="607"/>
      <c r="E58" s="608"/>
      <c r="F58" s="548"/>
      <c r="G58" s="590" t="s">
        <v>452</v>
      </c>
      <c r="H58" s="591"/>
      <c r="I58" s="282" t="s">
        <v>461</v>
      </c>
      <c r="J58" s="594" t="s">
        <v>453</v>
      </c>
      <c r="K58" s="283" t="s">
        <v>313</v>
      </c>
      <c r="L58" s="551" t="s">
        <v>454</v>
      </c>
      <c r="M58" s="595" t="s">
        <v>455</v>
      </c>
      <c r="N58" s="596"/>
      <c r="O58" s="557" t="s">
        <v>522</v>
      </c>
      <c r="P58" s="302" t="s">
        <v>452</v>
      </c>
      <c r="Q58" s="297" t="s">
        <v>461</v>
      </c>
      <c r="R58" s="574" t="s">
        <v>453</v>
      </c>
      <c r="S58" s="300" t="s">
        <v>313</v>
      </c>
      <c r="T58" s="551" t="s">
        <v>454</v>
      </c>
      <c r="U58" s="594" t="s">
        <v>455</v>
      </c>
      <c r="V58" s="594"/>
      <c r="W58" s="553"/>
    </row>
    <row r="59" spans="1:23" ht="15.95" customHeight="1">
      <c r="A59" s="177"/>
      <c r="C59" s="592"/>
      <c r="D59" s="593"/>
      <c r="E59" s="571"/>
      <c r="F59" s="550"/>
      <c r="G59" s="592" t="s">
        <v>456</v>
      </c>
      <c r="H59" s="593"/>
      <c r="I59" s="285" t="s">
        <v>456</v>
      </c>
      <c r="J59" s="594"/>
      <c r="K59" s="286" t="s">
        <v>360</v>
      </c>
      <c r="L59" s="551"/>
      <c r="M59" s="258" t="s">
        <v>457</v>
      </c>
      <c r="N59" s="258" t="s">
        <v>458</v>
      </c>
      <c r="O59" s="551"/>
      <c r="P59" s="285" t="s">
        <v>456</v>
      </c>
      <c r="Q59" s="285" t="s">
        <v>456</v>
      </c>
      <c r="R59" s="576"/>
      <c r="S59" s="301" t="s">
        <v>360</v>
      </c>
      <c r="T59" s="551"/>
      <c r="U59" s="258" t="s">
        <v>457</v>
      </c>
      <c r="V59" s="258" t="s">
        <v>458</v>
      </c>
      <c r="W59" s="558"/>
    </row>
    <row r="60" spans="1:23" ht="15.95" customHeight="1">
      <c r="A60" s="177"/>
      <c r="C60" s="257"/>
      <c r="D60" s="265"/>
      <c r="E60" s="534" t="s">
        <v>296</v>
      </c>
      <c r="F60" s="534"/>
      <c r="G60" s="554"/>
      <c r="H60" s="536"/>
      <c r="I60" s="262"/>
      <c r="J60" s="263"/>
      <c r="K60" s="263"/>
      <c r="L60" s="263"/>
      <c r="M60" s="264"/>
      <c r="N60" s="264"/>
      <c r="O60" s="255" t="str">
        <f>IF(E60="重い屋根","P40(1)",IF(E60="軽い屋根","P41(2)",""))</f>
        <v/>
      </c>
      <c r="P60" s="257" t="s">
        <v>296</v>
      </c>
      <c r="Q60" s="265" t="s">
        <v>296</v>
      </c>
      <c r="R60" s="257" t="s">
        <v>296</v>
      </c>
      <c r="S60" s="257" t="s">
        <v>296</v>
      </c>
      <c r="T60" s="257"/>
      <c r="U60" s="265"/>
      <c r="V60" s="265"/>
      <c r="W60" s="257"/>
    </row>
    <row r="61" spans="1:23" ht="15.95" customHeight="1">
      <c r="A61" s="177"/>
      <c r="C61" s="257"/>
      <c r="D61" s="265"/>
      <c r="E61" s="534" t="s">
        <v>296</v>
      </c>
      <c r="F61" s="534"/>
      <c r="G61" s="554"/>
      <c r="H61" s="536"/>
      <c r="I61" s="265"/>
      <c r="J61" s="257"/>
      <c r="K61" s="257"/>
      <c r="L61" s="257"/>
      <c r="M61" s="264"/>
      <c r="N61" s="264"/>
      <c r="O61" s="255" t="str">
        <f t="shared" ref="O61:O64" si="6">IF(E61="重い屋根","P40(1)",IF(E61="軽い屋根","P41(2)",""))</f>
        <v/>
      </c>
      <c r="P61" s="257" t="s">
        <v>296</v>
      </c>
      <c r="Q61" s="265" t="s">
        <v>296</v>
      </c>
      <c r="R61" s="257" t="s">
        <v>296</v>
      </c>
      <c r="S61" s="257" t="s">
        <v>296</v>
      </c>
      <c r="T61" s="257"/>
      <c r="U61" s="265"/>
      <c r="V61" s="265"/>
      <c r="W61" s="257"/>
    </row>
    <row r="62" spans="1:23" ht="15.95" customHeight="1">
      <c r="A62" s="177"/>
      <c r="C62" s="257"/>
      <c r="D62" s="265"/>
      <c r="E62" s="534" t="s">
        <v>296</v>
      </c>
      <c r="F62" s="534"/>
      <c r="G62" s="554"/>
      <c r="H62" s="536"/>
      <c r="I62" s="257"/>
      <c r="J62" s="257"/>
      <c r="K62" s="257"/>
      <c r="L62" s="257"/>
      <c r="M62" s="261"/>
      <c r="N62" s="257"/>
      <c r="O62" s="255" t="str">
        <f t="shared" si="6"/>
        <v/>
      </c>
      <c r="P62" s="257" t="s">
        <v>296</v>
      </c>
      <c r="Q62" s="265" t="s">
        <v>296</v>
      </c>
      <c r="R62" s="257" t="s">
        <v>296</v>
      </c>
      <c r="S62" s="257" t="s">
        <v>296</v>
      </c>
      <c r="T62" s="265"/>
      <c r="U62" s="265"/>
      <c r="V62" s="265"/>
      <c r="W62" s="257"/>
    </row>
    <row r="63" spans="1:23" ht="15.95" customHeight="1">
      <c r="A63" s="177"/>
      <c r="C63" s="257"/>
      <c r="D63" s="265"/>
      <c r="E63" s="534" t="s">
        <v>296</v>
      </c>
      <c r="F63" s="534"/>
      <c r="G63" s="554"/>
      <c r="H63" s="536"/>
      <c r="I63" s="257"/>
      <c r="J63" s="257"/>
      <c r="K63" s="257"/>
      <c r="L63" s="257"/>
      <c r="M63" s="261"/>
      <c r="N63" s="257"/>
      <c r="O63" s="255" t="str">
        <f t="shared" si="6"/>
        <v/>
      </c>
      <c r="P63" s="257" t="s">
        <v>296</v>
      </c>
      <c r="Q63" s="265" t="s">
        <v>296</v>
      </c>
      <c r="R63" s="257" t="s">
        <v>296</v>
      </c>
      <c r="S63" s="257" t="s">
        <v>296</v>
      </c>
      <c r="T63" s="265"/>
      <c r="U63" s="265"/>
      <c r="V63" s="265"/>
      <c r="W63" s="257"/>
    </row>
    <row r="64" spans="1:23" ht="15.95" customHeight="1">
      <c r="A64" s="177"/>
      <c r="C64" s="257"/>
      <c r="D64" s="265"/>
      <c r="E64" s="534" t="s">
        <v>296</v>
      </c>
      <c r="F64" s="534"/>
      <c r="G64" s="554"/>
      <c r="H64" s="536"/>
      <c r="I64" s="257"/>
      <c r="J64" s="257"/>
      <c r="K64" s="257"/>
      <c r="L64" s="257"/>
      <c r="M64" s="261"/>
      <c r="N64" s="257"/>
      <c r="O64" s="255" t="str">
        <f t="shared" si="6"/>
        <v/>
      </c>
      <c r="P64" s="257" t="s">
        <v>296</v>
      </c>
      <c r="Q64" s="265" t="s">
        <v>296</v>
      </c>
      <c r="R64" s="257" t="s">
        <v>296</v>
      </c>
      <c r="S64" s="257" t="s">
        <v>296</v>
      </c>
      <c r="T64" s="265"/>
      <c r="U64" s="265"/>
      <c r="V64" s="265"/>
      <c r="W64" s="257"/>
    </row>
    <row r="65" spans="1:27" ht="15.95" customHeight="1">
      <c r="A65" s="177"/>
      <c r="C65" s="257"/>
      <c r="D65" s="265"/>
      <c r="E65" s="534" t="s">
        <v>296</v>
      </c>
      <c r="F65" s="534"/>
      <c r="G65" s="554"/>
      <c r="H65" s="536"/>
      <c r="I65" s="257"/>
      <c r="J65" s="257"/>
      <c r="K65" s="257"/>
      <c r="L65" s="257"/>
      <c r="M65" s="261"/>
      <c r="N65" s="257"/>
      <c r="O65" s="255" t="str">
        <f>IF(E65="重い屋根","P40(1)",IF(E65="軽い屋根","P41(2)",""))</f>
        <v/>
      </c>
      <c r="P65" s="257" t="s">
        <v>296</v>
      </c>
      <c r="Q65" s="265" t="s">
        <v>296</v>
      </c>
      <c r="R65" s="257" t="s">
        <v>296</v>
      </c>
      <c r="S65" s="257" t="s">
        <v>296</v>
      </c>
      <c r="T65" s="265"/>
      <c r="U65" s="265"/>
      <c r="V65" s="265"/>
      <c r="W65" s="257"/>
    </row>
    <row r="66" spans="1:27" ht="13.5" customHeight="1"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79"/>
      <c r="N66" s="164"/>
      <c r="O66" s="164"/>
      <c r="P66" s="164"/>
      <c r="Q66" s="164"/>
      <c r="R66" s="164"/>
      <c r="S66" s="164"/>
      <c r="T66" s="164"/>
      <c r="U66" s="164"/>
    </row>
    <row r="67" spans="1:27"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79"/>
      <c r="N67" s="164"/>
      <c r="O67" s="164"/>
      <c r="P67" s="164"/>
      <c r="Q67" s="164"/>
      <c r="R67" s="164"/>
      <c r="S67" s="164"/>
      <c r="T67" s="164"/>
      <c r="U67" s="164"/>
    </row>
    <row r="68" spans="1:27" ht="14.25">
      <c r="B68" s="161" t="s">
        <v>408</v>
      </c>
    </row>
    <row r="69" spans="1:27" ht="13.5" customHeight="1">
      <c r="B69" s="161"/>
      <c r="C69" s="158" t="s">
        <v>377</v>
      </c>
    </row>
    <row r="70" spans="1:27" ht="13.5" customHeight="1">
      <c r="C70" s="158" t="s">
        <v>378</v>
      </c>
    </row>
    <row r="71" spans="1:27" ht="15.95" customHeight="1"/>
    <row r="72" spans="1:27" ht="15.95" customHeight="1">
      <c r="C72" s="551" t="s">
        <v>379</v>
      </c>
      <c r="D72" s="551"/>
      <c r="E72" s="551"/>
      <c r="F72" s="551"/>
      <c r="G72" s="551"/>
      <c r="H72" s="551"/>
      <c r="I72" s="551"/>
      <c r="J72" s="551" t="s">
        <v>293</v>
      </c>
      <c r="K72" s="539" t="s">
        <v>462</v>
      </c>
      <c r="L72" s="539"/>
      <c r="M72" s="539"/>
      <c r="N72" s="539"/>
      <c r="O72" s="539" t="s">
        <v>380</v>
      </c>
      <c r="P72" s="539"/>
      <c r="Q72" s="539" t="s">
        <v>521</v>
      </c>
      <c r="R72" s="539"/>
      <c r="S72" s="539"/>
      <c r="T72" s="539"/>
      <c r="U72" s="539"/>
      <c r="V72" s="539"/>
      <c r="W72" s="587" t="s">
        <v>373</v>
      </c>
    </row>
    <row r="73" spans="1:27" ht="15.95" customHeight="1">
      <c r="C73" s="551" t="s">
        <v>381</v>
      </c>
      <c r="D73" s="551" t="s">
        <v>382</v>
      </c>
      <c r="E73" s="551"/>
      <c r="F73" s="551"/>
      <c r="G73" s="551"/>
      <c r="H73" s="551" t="s">
        <v>383</v>
      </c>
      <c r="I73" s="551"/>
      <c r="J73" s="551"/>
      <c r="K73" s="284" t="s">
        <v>312</v>
      </c>
      <c r="L73" s="284" t="s">
        <v>384</v>
      </c>
      <c r="M73" s="584" t="s">
        <v>376</v>
      </c>
      <c r="N73" s="584"/>
      <c r="O73" s="584" t="s">
        <v>376</v>
      </c>
      <c r="P73" s="584"/>
      <c r="Q73" s="551" t="s">
        <v>522</v>
      </c>
      <c r="R73" s="551"/>
      <c r="S73" s="284" t="s">
        <v>312</v>
      </c>
      <c r="T73" s="284" t="s">
        <v>384</v>
      </c>
      <c r="U73" s="584" t="s">
        <v>376</v>
      </c>
      <c r="V73" s="584"/>
      <c r="W73" s="588"/>
    </row>
    <row r="74" spans="1:27" ht="15.95" customHeight="1">
      <c r="C74" s="551"/>
      <c r="D74" s="551"/>
      <c r="E74" s="551"/>
      <c r="F74" s="551"/>
      <c r="G74" s="551"/>
      <c r="H74" s="551"/>
      <c r="I74" s="551"/>
      <c r="J74" s="551"/>
      <c r="K74" s="284" t="s">
        <v>360</v>
      </c>
      <c r="L74" s="284" t="s">
        <v>360</v>
      </c>
      <c r="M74" s="584"/>
      <c r="N74" s="584"/>
      <c r="O74" s="584"/>
      <c r="P74" s="584"/>
      <c r="Q74" s="551"/>
      <c r="R74" s="551"/>
      <c r="S74" s="284" t="s">
        <v>360</v>
      </c>
      <c r="T74" s="284" t="s">
        <v>360</v>
      </c>
      <c r="U74" s="584"/>
      <c r="V74" s="584"/>
      <c r="W74" s="589"/>
    </row>
    <row r="75" spans="1:27" ht="15.95" customHeight="1">
      <c r="C75" s="265"/>
      <c r="D75" s="534"/>
      <c r="E75" s="534"/>
      <c r="F75" s="534"/>
      <c r="G75" s="534"/>
      <c r="H75" s="534"/>
      <c r="I75" s="534"/>
      <c r="J75" s="265" t="s">
        <v>296</v>
      </c>
      <c r="K75" s="265"/>
      <c r="L75" s="265"/>
      <c r="M75" s="265"/>
      <c r="N75" s="265"/>
      <c r="O75" s="265"/>
      <c r="P75" s="265"/>
      <c r="Q75" s="597"/>
      <c r="R75" s="597"/>
      <c r="S75" s="265"/>
      <c r="T75" s="265"/>
      <c r="U75" s="265"/>
      <c r="V75" s="265"/>
      <c r="W75" s="258" t="str">
        <f t="shared" ref="W75:W88" si="7">IF(D75="","",IF(O75="",IF(AND(K75&lt;=S75,L75&lt;=T75,M75&gt;=U75,N75&gt;=V75),"OK","NG"),IF(AND(K75&lt;=S75,L75&lt;=T75,O75&gt;=U75,P75&gt;=V75),"OK","NG")))</f>
        <v/>
      </c>
      <c r="Z75"/>
      <c r="AA75"/>
    </row>
    <row r="76" spans="1:27" ht="15.95" customHeight="1">
      <c r="C76" s="265"/>
      <c r="D76" s="534"/>
      <c r="E76" s="534"/>
      <c r="F76" s="534"/>
      <c r="G76" s="534"/>
      <c r="H76" s="534"/>
      <c r="I76" s="534"/>
      <c r="J76" s="265" t="s">
        <v>296</v>
      </c>
      <c r="K76" s="265"/>
      <c r="L76" s="265"/>
      <c r="M76" s="265"/>
      <c r="N76" s="265"/>
      <c r="O76" s="265"/>
      <c r="P76" s="265"/>
      <c r="Q76" s="597"/>
      <c r="R76" s="597"/>
      <c r="S76" s="265"/>
      <c r="T76" s="265"/>
      <c r="U76" s="265"/>
      <c r="V76" s="265"/>
      <c r="W76" s="258" t="str">
        <f t="shared" si="7"/>
        <v/>
      </c>
      <c r="Z76"/>
      <c r="AA76"/>
    </row>
    <row r="77" spans="1:27" ht="15.95" customHeight="1">
      <c r="C77" s="265"/>
      <c r="D77" s="534"/>
      <c r="E77" s="534"/>
      <c r="F77" s="534"/>
      <c r="G77" s="534"/>
      <c r="H77" s="534"/>
      <c r="I77" s="534"/>
      <c r="J77" s="265" t="s">
        <v>296</v>
      </c>
      <c r="K77" s="265"/>
      <c r="L77" s="265"/>
      <c r="M77" s="265"/>
      <c r="N77" s="265"/>
      <c r="O77" s="265"/>
      <c r="P77" s="265"/>
      <c r="Q77" s="597"/>
      <c r="R77" s="597"/>
      <c r="S77" s="265"/>
      <c r="T77" s="265"/>
      <c r="U77" s="265"/>
      <c r="V77" s="265"/>
      <c r="W77" s="258" t="str">
        <f t="shared" si="7"/>
        <v/>
      </c>
      <c r="Z77"/>
      <c r="AA77"/>
    </row>
    <row r="78" spans="1:27" ht="15.95" customHeight="1">
      <c r="C78" s="265"/>
      <c r="D78" s="534"/>
      <c r="E78" s="534"/>
      <c r="F78" s="534"/>
      <c r="G78" s="534"/>
      <c r="H78" s="534"/>
      <c r="I78" s="534"/>
      <c r="J78" s="265" t="s">
        <v>296</v>
      </c>
      <c r="K78" s="265"/>
      <c r="L78" s="265"/>
      <c r="M78" s="265"/>
      <c r="N78" s="265"/>
      <c r="O78" s="265"/>
      <c r="P78" s="265"/>
      <c r="Q78" s="597"/>
      <c r="R78" s="597"/>
      <c r="S78" s="265"/>
      <c r="T78" s="265"/>
      <c r="U78" s="265"/>
      <c r="V78" s="265"/>
      <c r="W78" s="258" t="str">
        <f t="shared" si="7"/>
        <v/>
      </c>
      <c r="Z78"/>
      <c r="AA78"/>
    </row>
    <row r="79" spans="1:27" ht="15.95" customHeight="1">
      <c r="C79" s="257"/>
      <c r="D79" s="534"/>
      <c r="E79" s="534"/>
      <c r="F79" s="534"/>
      <c r="G79" s="534"/>
      <c r="H79" s="534"/>
      <c r="I79" s="534"/>
      <c r="J79" s="265" t="s">
        <v>296</v>
      </c>
      <c r="K79" s="265"/>
      <c r="L79" s="265"/>
      <c r="M79" s="265"/>
      <c r="N79" s="265"/>
      <c r="O79" s="265"/>
      <c r="P79" s="265"/>
      <c r="Q79" s="597"/>
      <c r="R79" s="597"/>
      <c r="S79" s="265"/>
      <c r="T79" s="265"/>
      <c r="U79" s="265"/>
      <c r="V79" s="265"/>
      <c r="W79" s="258" t="str">
        <f t="shared" si="7"/>
        <v/>
      </c>
    </row>
    <row r="80" spans="1:27" ht="15.95" customHeight="1">
      <c r="C80" s="257"/>
      <c r="D80" s="534"/>
      <c r="E80" s="534"/>
      <c r="F80" s="534"/>
      <c r="G80" s="534"/>
      <c r="H80" s="534"/>
      <c r="I80" s="534"/>
      <c r="J80" s="265"/>
      <c r="K80" s="265"/>
      <c r="L80" s="265"/>
      <c r="M80" s="265"/>
      <c r="N80" s="265"/>
      <c r="O80" s="265"/>
      <c r="P80" s="265"/>
      <c r="Q80" s="597"/>
      <c r="R80" s="597"/>
      <c r="S80" s="265"/>
      <c r="T80" s="265"/>
      <c r="U80" s="265"/>
      <c r="V80" s="265"/>
      <c r="W80" s="258" t="str">
        <f t="shared" si="7"/>
        <v/>
      </c>
    </row>
    <row r="81" spans="2:23" ht="15.95" customHeight="1">
      <c r="C81" s="257"/>
      <c r="D81" s="534"/>
      <c r="E81" s="534"/>
      <c r="F81" s="534"/>
      <c r="G81" s="534"/>
      <c r="H81" s="534"/>
      <c r="I81" s="534"/>
      <c r="J81" s="265"/>
      <c r="K81" s="265"/>
      <c r="L81" s="265"/>
      <c r="M81" s="265"/>
      <c r="N81" s="265"/>
      <c r="O81" s="265"/>
      <c r="P81" s="265"/>
      <c r="Q81" s="597"/>
      <c r="R81" s="597"/>
      <c r="S81" s="265"/>
      <c r="T81" s="265"/>
      <c r="U81" s="265"/>
      <c r="V81" s="265"/>
      <c r="W81" s="258" t="str">
        <f t="shared" si="7"/>
        <v/>
      </c>
    </row>
    <row r="82" spans="2:23" ht="15.95" customHeight="1">
      <c r="C82" s="257"/>
      <c r="D82" s="534"/>
      <c r="E82" s="534"/>
      <c r="F82" s="534"/>
      <c r="G82" s="534"/>
      <c r="H82" s="534"/>
      <c r="I82" s="534"/>
      <c r="J82" s="265"/>
      <c r="K82" s="265"/>
      <c r="L82" s="265"/>
      <c r="M82" s="265"/>
      <c r="N82" s="265"/>
      <c r="O82" s="265"/>
      <c r="P82" s="265"/>
      <c r="Q82" s="597"/>
      <c r="R82" s="597"/>
      <c r="S82" s="265"/>
      <c r="T82" s="265"/>
      <c r="U82" s="265"/>
      <c r="V82" s="265"/>
      <c r="W82" s="258" t="str">
        <f t="shared" si="7"/>
        <v/>
      </c>
    </row>
    <row r="83" spans="2:23" ht="15.95" customHeight="1">
      <c r="C83" s="257"/>
      <c r="D83" s="534"/>
      <c r="E83" s="534"/>
      <c r="F83" s="534"/>
      <c r="G83" s="534"/>
      <c r="H83" s="534"/>
      <c r="I83" s="534"/>
      <c r="J83" s="265"/>
      <c r="K83" s="265"/>
      <c r="L83" s="265"/>
      <c r="M83" s="265"/>
      <c r="N83" s="265"/>
      <c r="O83" s="265"/>
      <c r="P83" s="265"/>
      <c r="Q83" s="597"/>
      <c r="R83" s="597"/>
      <c r="S83" s="265"/>
      <c r="T83" s="265"/>
      <c r="U83" s="265"/>
      <c r="V83" s="265"/>
      <c r="W83" s="258" t="str">
        <f t="shared" si="7"/>
        <v/>
      </c>
    </row>
    <row r="84" spans="2:23" ht="15.95" customHeight="1">
      <c r="C84" s="257"/>
      <c r="D84" s="534"/>
      <c r="E84" s="534"/>
      <c r="F84" s="534"/>
      <c r="G84" s="534"/>
      <c r="H84" s="534"/>
      <c r="I84" s="534"/>
      <c r="J84" s="265"/>
      <c r="K84" s="265"/>
      <c r="L84" s="265"/>
      <c r="M84" s="265"/>
      <c r="N84" s="265"/>
      <c r="O84" s="265"/>
      <c r="P84" s="265"/>
      <c r="Q84" s="597"/>
      <c r="R84" s="597"/>
      <c r="S84" s="265"/>
      <c r="T84" s="265"/>
      <c r="U84" s="265"/>
      <c r="V84" s="265"/>
      <c r="W84" s="258" t="str">
        <f t="shared" si="7"/>
        <v/>
      </c>
    </row>
    <row r="85" spans="2:23" ht="15.95" customHeight="1">
      <c r="C85" s="257"/>
      <c r="D85" s="534"/>
      <c r="E85" s="534"/>
      <c r="F85" s="534"/>
      <c r="G85" s="534"/>
      <c r="H85" s="534"/>
      <c r="I85" s="534"/>
      <c r="J85" s="265"/>
      <c r="K85" s="265"/>
      <c r="L85" s="265"/>
      <c r="M85" s="265"/>
      <c r="N85" s="265"/>
      <c r="O85" s="265"/>
      <c r="P85" s="265"/>
      <c r="Q85" s="597"/>
      <c r="R85" s="597"/>
      <c r="S85" s="265"/>
      <c r="T85" s="265"/>
      <c r="U85" s="265"/>
      <c r="V85" s="265"/>
      <c r="W85" s="258" t="str">
        <f t="shared" si="7"/>
        <v/>
      </c>
    </row>
    <row r="86" spans="2:23" ht="15.95" customHeight="1">
      <c r="C86" s="265"/>
      <c r="D86" s="534"/>
      <c r="E86" s="534"/>
      <c r="F86" s="534"/>
      <c r="G86" s="534"/>
      <c r="H86" s="534"/>
      <c r="I86" s="534"/>
      <c r="J86" s="265"/>
      <c r="K86" s="265"/>
      <c r="L86" s="265"/>
      <c r="M86" s="265"/>
      <c r="N86" s="265"/>
      <c r="O86" s="265"/>
      <c r="P86" s="265"/>
      <c r="Q86" s="597"/>
      <c r="R86" s="597"/>
      <c r="S86" s="265"/>
      <c r="T86" s="265"/>
      <c r="U86" s="265"/>
      <c r="V86" s="265"/>
      <c r="W86" s="258" t="str">
        <f t="shared" si="7"/>
        <v/>
      </c>
    </row>
    <row r="87" spans="2:23" ht="15.95" customHeight="1">
      <c r="C87" s="265"/>
      <c r="D87" s="534"/>
      <c r="E87" s="534"/>
      <c r="F87" s="534"/>
      <c r="G87" s="534"/>
      <c r="H87" s="534"/>
      <c r="I87" s="534"/>
      <c r="J87" s="265"/>
      <c r="K87" s="265"/>
      <c r="L87" s="265"/>
      <c r="M87" s="265"/>
      <c r="N87" s="265"/>
      <c r="O87" s="265"/>
      <c r="P87" s="265"/>
      <c r="Q87" s="597"/>
      <c r="R87" s="597"/>
      <c r="S87" s="265"/>
      <c r="T87" s="265"/>
      <c r="U87" s="265"/>
      <c r="V87" s="265"/>
      <c r="W87" s="258" t="str">
        <f t="shared" si="7"/>
        <v/>
      </c>
    </row>
    <row r="88" spans="2:23" ht="13.5" customHeight="1">
      <c r="C88" s="265"/>
      <c r="D88" s="534"/>
      <c r="E88" s="534"/>
      <c r="F88" s="534"/>
      <c r="G88" s="534"/>
      <c r="H88" s="534"/>
      <c r="I88" s="534"/>
      <c r="J88" s="265"/>
      <c r="K88" s="265"/>
      <c r="L88" s="265"/>
      <c r="M88" s="265"/>
      <c r="N88" s="265"/>
      <c r="O88" s="265"/>
      <c r="P88" s="265"/>
      <c r="Q88" s="597"/>
      <c r="R88" s="597"/>
      <c r="S88" s="265"/>
      <c r="T88" s="265"/>
      <c r="U88" s="265"/>
      <c r="V88" s="265"/>
      <c r="W88" s="258" t="str">
        <f t="shared" si="7"/>
        <v/>
      </c>
    </row>
    <row r="89" spans="2:23" ht="13.5" customHeight="1">
      <c r="C89" s="178"/>
      <c r="D89" s="178"/>
      <c r="E89" s="178"/>
      <c r="F89" s="178"/>
      <c r="G89" s="178"/>
      <c r="H89" s="178"/>
      <c r="I89" s="178"/>
      <c r="J89" s="180"/>
      <c r="K89" s="180"/>
      <c r="L89" s="180"/>
      <c r="M89" s="180"/>
      <c r="N89" s="180"/>
      <c r="O89" s="181"/>
      <c r="P89" s="181"/>
      <c r="Q89" s="180"/>
      <c r="R89" s="180"/>
      <c r="S89" s="180"/>
      <c r="T89" s="180"/>
      <c r="U89" s="180"/>
      <c r="V89" s="176"/>
    </row>
    <row r="90" spans="2:23" ht="13.5" customHeight="1">
      <c r="B90" s="177"/>
      <c r="C90" s="178"/>
      <c r="D90" s="178"/>
      <c r="E90" s="178"/>
      <c r="F90" s="178"/>
      <c r="G90" s="178"/>
      <c r="H90" s="178"/>
      <c r="I90" s="180"/>
      <c r="J90" s="180"/>
      <c r="K90" s="180"/>
      <c r="L90" s="180"/>
      <c r="M90" s="180"/>
      <c r="N90" s="181"/>
      <c r="O90" s="181"/>
      <c r="P90" s="180"/>
      <c r="Q90" s="180"/>
      <c r="R90" s="180"/>
      <c r="S90" s="180"/>
      <c r="T90" s="180"/>
      <c r="U90" s="178"/>
      <c r="V90"/>
    </row>
    <row r="91" spans="2:23" ht="14.25">
      <c r="B91" s="161" t="s">
        <v>442</v>
      </c>
      <c r="I91" s="252" t="s">
        <v>296</v>
      </c>
      <c r="J91" s="158" t="s">
        <v>508</v>
      </c>
    </row>
    <row r="92" spans="2:23" ht="13.5" customHeight="1"/>
    <row r="93" spans="2:23" ht="13.5" customHeight="1">
      <c r="C93" s="158" t="s">
        <v>385</v>
      </c>
    </row>
    <row r="94" spans="2:23" ht="27" customHeight="1">
      <c r="C94" s="577" t="s">
        <v>386</v>
      </c>
      <c r="D94" s="577"/>
      <c r="E94" s="577"/>
      <c r="F94" s="577"/>
      <c r="G94" s="160"/>
    </row>
    <row r="95" spans="2:23" ht="15.95" customHeight="1">
      <c r="C95" s="551" t="s">
        <v>463</v>
      </c>
      <c r="D95" s="551"/>
      <c r="E95" s="551"/>
      <c r="F95" s="551"/>
      <c r="G95" s="551"/>
      <c r="H95" s="551"/>
      <c r="I95" s="551"/>
      <c r="J95" s="551"/>
      <c r="K95" s="551"/>
      <c r="L95" s="541" t="s">
        <v>462</v>
      </c>
      <c r="M95" s="542"/>
      <c r="N95" s="542"/>
      <c r="O95" s="542"/>
      <c r="P95" s="542"/>
      <c r="Q95" s="542"/>
      <c r="R95" s="543"/>
      <c r="S95" s="541" t="s">
        <v>521</v>
      </c>
      <c r="T95" s="542"/>
      <c r="U95" s="543"/>
      <c r="V95" s="568" t="s">
        <v>387</v>
      </c>
      <c r="W95" s="570"/>
    </row>
    <row r="96" spans="2:23" ht="15.95" customHeight="1">
      <c r="C96" s="552" t="s">
        <v>459</v>
      </c>
      <c r="D96" s="568" t="s">
        <v>460</v>
      </c>
      <c r="E96" s="569"/>
      <c r="F96" s="570"/>
      <c r="G96" s="568" t="s">
        <v>372</v>
      </c>
      <c r="H96" s="570"/>
      <c r="I96" s="552" t="s">
        <v>30</v>
      </c>
      <c r="J96" s="541" t="s">
        <v>381</v>
      </c>
      <c r="K96" s="551" t="s">
        <v>32</v>
      </c>
      <c r="L96" s="291" t="s">
        <v>388</v>
      </c>
      <c r="M96" s="291" t="s">
        <v>389</v>
      </c>
      <c r="N96" s="291" t="s">
        <v>390</v>
      </c>
      <c r="O96" s="291" t="s">
        <v>391</v>
      </c>
      <c r="P96" s="291" t="s">
        <v>392</v>
      </c>
      <c r="Q96" s="291" t="s">
        <v>393</v>
      </c>
      <c r="R96" s="282" t="s">
        <v>446</v>
      </c>
      <c r="S96" s="551" t="s">
        <v>522</v>
      </c>
      <c r="T96" s="287" t="s">
        <v>392</v>
      </c>
      <c r="U96" s="288" t="s">
        <v>393</v>
      </c>
      <c r="V96" s="547"/>
      <c r="W96" s="548"/>
    </row>
    <row r="97" spans="1:23" ht="15.95" customHeight="1">
      <c r="C97" s="558"/>
      <c r="D97" s="549"/>
      <c r="E97" s="571"/>
      <c r="F97" s="550"/>
      <c r="G97" s="549"/>
      <c r="H97" s="550"/>
      <c r="I97" s="558"/>
      <c r="J97" s="541"/>
      <c r="K97" s="551"/>
      <c r="L97" s="289" t="s">
        <v>394</v>
      </c>
      <c r="M97" s="289" t="s">
        <v>394</v>
      </c>
      <c r="N97" s="289" t="s">
        <v>394</v>
      </c>
      <c r="O97" s="289" t="s">
        <v>394</v>
      </c>
      <c r="P97" s="289" t="s">
        <v>395</v>
      </c>
      <c r="Q97" s="289" t="s">
        <v>395</v>
      </c>
      <c r="R97" s="289" t="s">
        <v>394</v>
      </c>
      <c r="S97" s="551"/>
      <c r="T97" s="289" t="s">
        <v>395</v>
      </c>
      <c r="U97" s="289" t="s">
        <v>395</v>
      </c>
      <c r="V97" s="549" t="s">
        <v>396</v>
      </c>
      <c r="W97" s="550"/>
    </row>
    <row r="98" spans="1:23" ht="15.95" customHeight="1">
      <c r="A98" s="158" t="str">
        <f t="shared" ref="A98:A119" si="8">CONCATENATE(C98,D98)</f>
        <v/>
      </c>
      <c r="C98" s="337"/>
      <c r="D98" s="534"/>
      <c r="E98" s="534"/>
      <c r="F98" s="534"/>
      <c r="G98" s="534"/>
      <c r="H98" s="534"/>
      <c r="I98" s="337"/>
      <c r="J98" s="338"/>
      <c r="K98" s="337"/>
      <c r="L98" s="267"/>
      <c r="M98" s="267"/>
      <c r="N98" s="267"/>
      <c r="O98" s="267"/>
      <c r="P98" s="268" t="str">
        <f t="shared" ref="P98:P119" si="9">IF(C98="","",MAX(L98+M98,N98+O98))</f>
        <v/>
      </c>
      <c r="Q98" s="268" t="str">
        <f t="shared" ref="Q98:Q119" si="10">IF(C98="","",MIN(L98+M98,N98+O98))</f>
        <v/>
      </c>
      <c r="R98" s="269" t="str">
        <f t="shared" ref="R98:R119" si="11">IF(C98="","",L98+M98+N98+O98)</f>
        <v/>
      </c>
      <c r="S98" s="255" t="str">
        <f>IF(J98="平屋",IF(G98="重い","P88",IF(G98="軽い","P89")),IF(J98="1、2階",IF(G98="重い","P90",IF(G98="軽い","P91")),IF(J98="総2階",IF(G98="重い","P92",IF(G98="軽い","P93")),"")))</f>
        <v/>
      </c>
      <c r="T98" s="270" t="str">
        <f t="shared" ref="T98:T143" si="12">IF(C98="","",IF(P98&lt;=0.985,0.985,IF(P98&lt;=1.97,1.97,IF(P98&lt;=2.955,2.955,IF(P98&lt;=3.94,3.94,IF(P98&lt;=4.925,4.925,IF(P98&lt;=5.91,5.91,IF(P98&lt;=6.895,6.895,IF(P98&lt;=7.88,7.88,IF(P98&lt;=8.865,8.865,IF(P98&lt;=9.85,9.85,IF(P98&lt;=10.835,10.835,IF(P98&lt;=11.82,11.82,IF(P98&lt;=12.805,12.805,IF(P98&lt;=13.79,13.79,IF(P98&lt;=14.775,14.775,"NG"))))))))))))))))</f>
        <v/>
      </c>
      <c r="U98" s="270" t="str">
        <f t="shared" ref="U98:U143" si="13">IF(C98="","",IF(Q98&lt;=0.985,0.985,IF(Q98&lt;=1.97,1.97,IF(Q98&lt;=2.955,2.955,IF(Q98&lt;=3.94,3.94,IF(Q98&lt;=4.925,4.925,IF(Q98&lt;=5.91,5.91,IF(Q98&lt;=6.895,6.895,IF(Q98&lt;=7.88,7.88,IF(Q98&lt;=8.865,8.865,IF(Q98&lt;=9.85,9.85,IF(Q98&lt;=10.835,10.835,IF(Q98&lt;=11.82,11.82,IF(Q98&lt;=12.805,12.805,IF(Q98&lt;=13.79,13.79,IF(Q98&lt;=14.775,14.775,"NG"))))))))))))))))</f>
        <v/>
      </c>
      <c r="V98" s="572"/>
      <c r="W98" s="573"/>
    </row>
    <row r="99" spans="1:23" ht="15.95" customHeight="1">
      <c r="A99" s="158" t="str">
        <f t="shared" si="8"/>
        <v/>
      </c>
      <c r="C99" s="337"/>
      <c r="D99" s="534"/>
      <c r="E99" s="534"/>
      <c r="F99" s="534"/>
      <c r="G99" s="534"/>
      <c r="H99" s="534"/>
      <c r="I99" s="337"/>
      <c r="J99" s="338"/>
      <c r="K99" s="337"/>
      <c r="L99" s="267"/>
      <c r="M99" s="267"/>
      <c r="N99" s="267"/>
      <c r="O99" s="267"/>
      <c r="P99" s="268" t="str">
        <f t="shared" si="9"/>
        <v/>
      </c>
      <c r="Q99" s="268" t="str">
        <f t="shared" si="10"/>
        <v/>
      </c>
      <c r="R99" s="269" t="str">
        <f t="shared" si="11"/>
        <v/>
      </c>
      <c r="S99" s="255" t="str">
        <f t="shared" ref="S99:S101" si="14">IF(J99="平屋",IF(G99="重い","P88",IF(G99="軽い","P89")),IF(J99="1、2階",IF(G99="重い","P90",IF(G99="軽い","P91")),IF(J99="総2階",IF(G99="重い","P92",IF(G99="軽い","P93")),"")))</f>
        <v/>
      </c>
      <c r="T99" s="270" t="str">
        <f t="shared" si="12"/>
        <v/>
      </c>
      <c r="U99" s="270" t="str">
        <f t="shared" si="13"/>
        <v/>
      </c>
      <c r="V99" s="572"/>
      <c r="W99" s="573"/>
    </row>
    <row r="100" spans="1:23" ht="15.95" customHeight="1">
      <c r="A100" s="158" t="str">
        <f t="shared" si="8"/>
        <v/>
      </c>
      <c r="C100" s="337"/>
      <c r="D100" s="534"/>
      <c r="E100" s="534"/>
      <c r="F100" s="534"/>
      <c r="G100" s="534"/>
      <c r="H100" s="534"/>
      <c r="I100" s="337"/>
      <c r="J100" s="338"/>
      <c r="K100" s="337"/>
      <c r="L100" s="267"/>
      <c r="M100" s="267"/>
      <c r="N100" s="267"/>
      <c r="O100" s="267"/>
      <c r="P100" s="268" t="str">
        <f t="shared" si="9"/>
        <v/>
      </c>
      <c r="Q100" s="268" t="str">
        <f t="shared" si="10"/>
        <v/>
      </c>
      <c r="R100" s="269" t="str">
        <f t="shared" si="11"/>
        <v/>
      </c>
      <c r="S100" s="255" t="str">
        <f t="shared" si="14"/>
        <v/>
      </c>
      <c r="T100" s="270" t="str">
        <f t="shared" si="12"/>
        <v/>
      </c>
      <c r="U100" s="270" t="str">
        <f t="shared" si="13"/>
        <v/>
      </c>
      <c r="V100" s="572"/>
      <c r="W100" s="573"/>
    </row>
    <row r="101" spans="1:23" ht="15.95" customHeight="1">
      <c r="A101" s="158" t="str">
        <f t="shared" si="8"/>
        <v/>
      </c>
      <c r="C101" s="337"/>
      <c r="D101" s="534"/>
      <c r="E101" s="534"/>
      <c r="F101" s="534"/>
      <c r="G101" s="534"/>
      <c r="H101" s="534"/>
      <c r="I101" s="337"/>
      <c r="J101" s="338"/>
      <c r="K101" s="337"/>
      <c r="L101" s="267"/>
      <c r="M101" s="267"/>
      <c r="N101" s="267"/>
      <c r="O101" s="267"/>
      <c r="P101" s="268" t="str">
        <f t="shared" si="9"/>
        <v/>
      </c>
      <c r="Q101" s="268" t="str">
        <f t="shared" si="10"/>
        <v/>
      </c>
      <c r="R101" s="269" t="str">
        <f t="shared" si="11"/>
        <v/>
      </c>
      <c r="S101" s="255" t="str">
        <f t="shared" si="14"/>
        <v/>
      </c>
      <c r="T101" s="270" t="str">
        <f t="shared" si="12"/>
        <v/>
      </c>
      <c r="U101" s="270" t="str">
        <f t="shared" si="13"/>
        <v/>
      </c>
      <c r="V101" s="572"/>
      <c r="W101" s="573"/>
    </row>
    <row r="102" spans="1:23" ht="15.95" customHeight="1">
      <c r="A102" s="158" t="str">
        <f t="shared" si="8"/>
        <v/>
      </c>
      <c r="C102" s="337"/>
      <c r="D102" s="534"/>
      <c r="E102" s="534"/>
      <c r="F102" s="534"/>
      <c r="G102" s="534"/>
      <c r="H102" s="534"/>
      <c r="I102" s="337"/>
      <c r="J102" s="338"/>
      <c r="K102" s="337"/>
      <c r="L102" s="267"/>
      <c r="M102" s="267"/>
      <c r="N102" s="267"/>
      <c r="O102" s="267"/>
      <c r="P102" s="268" t="str">
        <f t="shared" si="9"/>
        <v/>
      </c>
      <c r="Q102" s="268" t="str">
        <f t="shared" si="10"/>
        <v/>
      </c>
      <c r="R102" s="269" t="str">
        <f t="shared" si="11"/>
        <v/>
      </c>
      <c r="S102" s="255" t="str">
        <f>IF(J102="平屋",IF(G102="重い","P88",IF(G102="軽い","P89")),IF(J102="1、2階",IF(G102="重い","P90",IF(G102="軽い","P91")),IF(J102="総2階",IF(G102="重い","P92",IF(G102="軽い","P93")),"")))</f>
        <v/>
      </c>
      <c r="T102" s="270" t="str">
        <f t="shared" si="12"/>
        <v/>
      </c>
      <c r="U102" s="270" t="str">
        <f t="shared" si="13"/>
        <v/>
      </c>
      <c r="V102" s="572"/>
      <c r="W102" s="573"/>
    </row>
    <row r="103" spans="1:23" ht="15.95" customHeight="1">
      <c r="A103" s="158" t="str">
        <f t="shared" si="8"/>
        <v/>
      </c>
      <c r="C103" s="337"/>
      <c r="D103" s="534"/>
      <c r="E103" s="534"/>
      <c r="F103" s="534"/>
      <c r="G103" s="534"/>
      <c r="H103" s="534"/>
      <c r="I103" s="337"/>
      <c r="J103" s="338"/>
      <c r="K103" s="337"/>
      <c r="L103" s="267"/>
      <c r="M103" s="267"/>
      <c r="N103" s="267"/>
      <c r="O103" s="267"/>
      <c r="P103" s="268" t="str">
        <f t="shared" si="9"/>
        <v/>
      </c>
      <c r="Q103" s="268" t="str">
        <f t="shared" si="10"/>
        <v/>
      </c>
      <c r="R103" s="269" t="str">
        <f t="shared" si="11"/>
        <v/>
      </c>
      <c r="S103" s="255" t="str">
        <f t="shared" ref="S103:S143" si="15">IF(J103="平屋",IF(G103="重い","P88",IF(G103="軽い","P89")),IF(J103="1、2階",IF(G103="重い","P90",IF(G103="軽い","P91")),IF(J103="総2階",IF(G103="重い","P92",IF(G103="軽い","P93")),"")))</f>
        <v/>
      </c>
      <c r="T103" s="270" t="str">
        <f t="shared" si="12"/>
        <v/>
      </c>
      <c r="U103" s="270" t="str">
        <f t="shared" si="13"/>
        <v/>
      </c>
      <c r="V103" s="572"/>
      <c r="W103" s="573"/>
    </row>
    <row r="104" spans="1:23" ht="15.95" customHeight="1">
      <c r="A104" s="158" t="str">
        <f t="shared" si="8"/>
        <v/>
      </c>
      <c r="C104" s="337"/>
      <c r="D104" s="554"/>
      <c r="E104" s="535"/>
      <c r="F104" s="536"/>
      <c r="G104" s="534"/>
      <c r="H104" s="534"/>
      <c r="I104" s="337"/>
      <c r="J104" s="338"/>
      <c r="K104" s="337"/>
      <c r="L104" s="267"/>
      <c r="M104" s="267"/>
      <c r="N104" s="267"/>
      <c r="O104" s="267"/>
      <c r="P104" s="268" t="str">
        <f t="shared" si="9"/>
        <v/>
      </c>
      <c r="Q104" s="268" t="str">
        <f t="shared" si="10"/>
        <v/>
      </c>
      <c r="R104" s="269" t="str">
        <f t="shared" si="11"/>
        <v/>
      </c>
      <c r="S104" s="255" t="str">
        <f t="shared" si="15"/>
        <v/>
      </c>
      <c r="T104" s="270" t="str">
        <f t="shared" si="12"/>
        <v/>
      </c>
      <c r="U104" s="270" t="str">
        <f t="shared" si="13"/>
        <v/>
      </c>
      <c r="V104" s="572"/>
      <c r="W104" s="573"/>
    </row>
    <row r="105" spans="1:23" ht="15.95" customHeight="1">
      <c r="A105" s="158" t="str">
        <f t="shared" si="8"/>
        <v/>
      </c>
      <c r="C105" s="337"/>
      <c r="D105" s="554"/>
      <c r="E105" s="535"/>
      <c r="F105" s="536"/>
      <c r="G105" s="534"/>
      <c r="H105" s="534"/>
      <c r="I105" s="337"/>
      <c r="J105" s="338"/>
      <c r="K105" s="337"/>
      <c r="L105" s="267"/>
      <c r="M105" s="267"/>
      <c r="N105" s="267"/>
      <c r="O105" s="267"/>
      <c r="P105" s="268" t="str">
        <f t="shared" si="9"/>
        <v/>
      </c>
      <c r="Q105" s="268" t="str">
        <f t="shared" si="10"/>
        <v/>
      </c>
      <c r="R105" s="269" t="str">
        <f t="shared" si="11"/>
        <v/>
      </c>
      <c r="S105" s="255" t="str">
        <f t="shared" si="15"/>
        <v/>
      </c>
      <c r="T105" s="270" t="str">
        <f t="shared" si="12"/>
        <v/>
      </c>
      <c r="U105" s="270" t="str">
        <f t="shared" si="13"/>
        <v/>
      </c>
      <c r="V105" s="572"/>
      <c r="W105" s="573"/>
    </row>
    <row r="106" spans="1:23" ht="15.95" customHeight="1">
      <c r="A106" s="158" t="str">
        <f t="shared" si="8"/>
        <v/>
      </c>
      <c r="C106" s="337"/>
      <c r="D106" s="554"/>
      <c r="E106" s="535"/>
      <c r="F106" s="536"/>
      <c r="G106" s="534"/>
      <c r="H106" s="534"/>
      <c r="I106" s="337"/>
      <c r="J106" s="338"/>
      <c r="K106" s="337"/>
      <c r="L106" s="267"/>
      <c r="M106" s="267"/>
      <c r="N106" s="267"/>
      <c r="O106" s="267"/>
      <c r="P106" s="268" t="str">
        <f t="shared" si="9"/>
        <v/>
      </c>
      <c r="Q106" s="268" t="str">
        <f t="shared" si="10"/>
        <v/>
      </c>
      <c r="R106" s="269" t="str">
        <f t="shared" si="11"/>
        <v/>
      </c>
      <c r="S106" s="255" t="str">
        <f t="shared" si="15"/>
        <v/>
      </c>
      <c r="T106" s="270" t="str">
        <f t="shared" si="12"/>
        <v/>
      </c>
      <c r="U106" s="270" t="str">
        <f t="shared" si="13"/>
        <v/>
      </c>
      <c r="V106" s="572"/>
      <c r="W106" s="573"/>
    </row>
    <row r="107" spans="1:23" ht="15.95" customHeight="1">
      <c r="A107" s="158" t="str">
        <f t="shared" si="8"/>
        <v/>
      </c>
      <c r="C107" s="337"/>
      <c r="D107" s="534"/>
      <c r="E107" s="534"/>
      <c r="F107" s="534"/>
      <c r="G107" s="534"/>
      <c r="H107" s="534"/>
      <c r="I107" s="337"/>
      <c r="J107" s="338"/>
      <c r="K107" s="337"/>
      <c r="L107" s="267"/>
      <c r="M107" s="267"/>
      <c r="N107" s="267"/>
      <c r="O107" s="267"/>
      <c r="P107" s="268" t="str">
        <f t="shared" si="9"/>
        <v/>
      </c>
      <c r="Q107" s="268" t="str">
        <f t="shared" si="10"/>
        <v/>
      </c>
      <c r="R107" s="269" t="str">
        <f t="shared" si="11"/>
        <v/>
      </c>
      <c r="S107" s="255" t="str">
        <f t="shared" si="15"/>
        <v/>
      </c>
      <c r="T107" s="270" t="str">
        <f t="shared" si="12"/>
        <v/>
      </c>
      <c r="U107" s="270" t="str">
        <f t="shared" si="13"/>
        <v/>
      </c>
      <c r="V107" s="572"/>
      <c r="W107" s="573"/>
    </row>
    <row r="108" spans="1:23" ht="15.95" customHeight="1">
      <c r="A108" s="158" t="str">
        <f t="shared" si="8"/>
        <v/>
      </c>
      <c r="C108" s="337"/>
      <c r="D108" s="534"/>
      <c r="E108" s="534"/>
      <c r="F108" s="534"/>
      <c r="G108" s="534"/>
      <c r="H108" s="534"/>
      <c r="I108" s="337"/>
      <c r="J108" s="338"/>
      <c r="K108" s="337"/>
      <c r="L108" s="267"/>
      <c r="M108" s="267"/>
      <c r="N108" s="267"/>
      <c r="O108" s="267"/>
      <c r="P108" s="268" t="str">
        <f t="shared" si="9"/>
        <v/>
      </c>
      <c r="Q108" s="268" t="str">
        <f t="shared" si="10"/>
        <v/>
      </c>
      <c r="R108" s="269" t="str">
        <f t="shared" si="11"/>
        <v/>
      </c>
      <c r="S108" s="255" t="str">
        <f t="shared" si="15"/>
        <v/>
      </c>
      <c r="T108" s="270" t="str">
        <f t="shared" si="12"/>
        <v/>
      </c>
      <c r="U108" s="270" t="str">
        <f t="shared" si="13"/>
        <v/>
      </c>
      <c r="V108" s="572"/>
      <c r="W108" s="573"/>
    </row>
    <row r="109" spans="1:23" ht="15.95" customHeight="1">
      <c r="A109" s="158" t="str">
        <f t="shared" si="8"/>
        <v/>
      </c>
      <c r="C109" s="337"/>
      <c r="D109" s="534"/>
      <c r="E109" s="534"/>
      <c r="F109" s="534"/>
      <c r="G109" s="534"/>
      <c r="H109" s="534"/>
      <c r="I109" s="337"/>
      <c r="J109" s="338"/>
      <c r="K109" s="337"/>
      <c r="L109" s="267"/>
      <c r="M109" s="267"/>
      <c r="N109" s="267"/>
      <c r="O109" s="267"/>
      <c r="P109" s="268" t="str">
        <f t="shared" si="9"/>
        <v/>
      </c>
      <c r="Q109" s="268" t="str">
        <f t="shared" si="10"/>
        <v/>
      </c>
      <c r="R109" s="269" t="str">
        <f t="shared" si="11"/>
        <v/>
      </c>
      <c r="S109" s="255" t="str">
        <f t="shared" si="15"/>
        <v/>
      </c>
      <c r="T109" s="270" t="str">
        <f t="shared" si="12"/>
        <v/>
      </c>
      <c r="U109" s="270" t="str">
        <f t="shared" si="13"/>
        <v/>
      </c>
      <c r="V109" s="572"/>
      <c r="W109" s="573"/>
    </row>
    <row r="110" spans="1:23" ht="15.95" customHeight="1">
      <c r="A110" s="158" t="str">
        <f t="shared" si="8"/>
        <v/>
      </c>
      <c r="C110" s="337"/>
      <c r="D110" s="534"/>
      <c r="E110" s="534"/>
      <c r="F110" s="534"/>
      <c r="G110" s="534"/>
      <c r="H110" s="534"/>
      <c r="I110" s="337"/>
      <c r="J110" s="338"/>
      <c r="K110" s="337"/>
      <c r="L110" s="267"/>
      <c r="M110" s="267"/>
      <c r="N110" s="267"/>
      <c r="O110" s="267"/>
      <c r="P110" s="268" t="str">
        <f t="shared" si="9"/>
        <v/>
      </c>
      <c r="Q110" s="268" t="str">
        <f t="shared" si="10"/>
        <v/>
      </c>
      <c r="R110" s="269" t="str">
        <f t="shared" si="11"/>
        <v/>
      </c>
      <c r="S110" s="255" t="str">
        <f t="shared" si="15"/>
        <v/>
      </c>
      <c r="T110" s="270" t="str">
        <f t="shared" si="12"/>
        <v/>
      </c>
      <c r="U110" s="270" t="str">
        <f t="shared" si="13"/>
        <v/>
      </c>
      <c r="V110" s="572"/>
      <c r="W110" s="573"/>
    </row>
    <row r="111" spans="1:23" ht="15.95" customHeight="1">
      <c r="A111" s="158" t="str">
        <f t="shared" si="8"/>
        <v/>
      </c>
      <c r="C111" s="337"/>
      <c r="D111" s="534"/>
      <c r="E111" s="534"/>
      <c r="F111" s="534"/>
      <c r="G111" s="534"/>
      <c r="H111" s="534"/>
      <c r="I111" s="337"/>
      <c r="J111" s="338"/>
      <c r="K111" s="337"/>
      <c r="L111" s="267"/>
      <c r="M111" s="267"/>
      <c r="N111" s="267"/>
      <c r="O111" s="267"/>
      <c r="P111" s="268" t="str">
        <f t="shared" si="9"/>
        <v/>
      </c>
      <c r="Q111" s="268" t="str">
        <f t="shared" si="10"/>
        <v/>
      </c>
      <c r="R111" s="269" t="str">
        <f t="shared" si="11"/>
        <v/>
      </c>
      <c r="S111" s="255" t="str">
        <f t="shared" si="15"/>
        <v/>
      </c>
      <c r="T111" s="270" t="str">
        <f t="shared" si="12"/>
        <v/>
      </c>
      <c r="U111" s="270" t="str">
        <f t="shared" si="13"/>
        <v/>
      </c>
      <c r="V111" s="572"/>
      <c r="W111" s="573"/>
    </row>
    <row r="112" spans="1:23" ht="15.95" customHeight="1">
      <c r="A112" s="158" t="str">
        <f t="shared" si="8"/>
        <v/>
      </c>
      <c r="C112" s="337"/>
      <c r="D112" s="534"/>
      <c r="E112" s="534"/>
      <c r="F112" s="534"/>
      <c r="G112" s="534"/>
      <c r="H112" s="534"/>
      <c r="I112" s="337"/>
      <c r="J112" s="338"/>
      <c r="K112" s="337"/>
      <c r="L112" s="267"/>
      <c r="M112" s="267"/>
      <c r="N112" s="267"/>
      <c r="O112" s="267"/>
      <c r="P112" s="268" t="str">
        <f t="shared" si="9"/>
        <v/>
      </c>
      <c r="Q112" s="268" t="str">
        <f t="shared" si="10"/>
        <v/>
      </c>
      <c r="R112" s="269" t="str">
        <f t="shared" si="11"/>
        <v/>
      </c>
      <c r="S112" s="255" t="str">
        <f t="shared" si="15"/>
        <v/>
      </c>
      <c r="T112" s="270" t="str">
        <f t="shared" si="12"/>
        <v/>
      </c>
      <c r="U112" s="270" t="str">
        <f t="shared" si="13"/>
        <v/>
      </c>
      <c r="V112" s="572"/>
      <c r="W112" s="573"/>
    </row>
    <row r="113" spans="1:23" ht="15.95" customHeight="1">
      <c r="A113" s="158" t="str">
        <f t="shared" si="8"/>
        <v/>
      </c>
      <c r="C113" s="337"/>
      <c r="D113" s="554"/>
      <c r="E113" s="535"/>
      <c r="F113" s="536"/>
      <c r="G113" s="534"/>
      <c r="H113" s="534"/>
      <c r="I113" s="337"/>
      <c r="J113" s="338"/>
      <c r="K113" s="337"/>
      <c r="L113" s="267"/>
      <c r="M113" s="267"/>
      <c r="N113" s="267"/>
      <c r="O113" s="267"/>
      <c r="P113" s="268" t="str">
        <f t="shared" si="9"/>
        <v/>
      </c>
      <c r="Q113" s="268" t="str">
        <f t="shared" si="10"/>
        <v/>
      </c>
      <c r="R113" s="269" t="str">
        <f t="shared" si="11"/>
        <v/>
      </c>
      <c r="S113" s="255" t="str">
        <f t="shared" si="15"/>
        <v/>
      </c>
      <c r="T113" s="270" t="str">
        <f t="shared" si="12"/>
        <v/>
      </c>
      <c r="U113" s="270" t="str">
        <f t="shared" si="13"/>
        <v/>
      </c>
      <c r="V113" s="572"/>
      <c r="W113" s="573"/>
    </row>
    <row r="114" spans="1:23" ht="15.95" customHeight="1">
      <c r="A114" s="158" t="str">
        <f t="shared" si="8"/>
        <v/>
      </c>
      <c r="C114" s="337"/>
      <c r="D114" s="554"/>
      <c r="E114" s="535"/>
      <c r="F114" s="536"/>
      <c r="G114" s="534"/>
      <c r="H114" s="534"/>
      <c r="I114" s="337"/>
      <c r="J114" s="338"/>
      <c r="K114" s="337"/>
      <c r="L114" s="267"/>
      <c r="M114" s="267"/>
      <c r="N114" s="267"/>
      <c r="O114" s="267"/>
      <c r="P114" s="268" t="str">
        <f t="shared" si="9"/>
        <v/>
      </c>
      <c r="Q114" s="268" t="str">
        <f t="shared" si="10"/>
        <v/>
      </c>
      <c r="R114" s="269" t="str">
        <f t="shared" si="11"/>
        <v/>
      </c>
      <c r="S114" s="255" t="str">
        <f t="shared" si="15"/>
        <v/>
      </c>
      <c r="T114" s="270" t="str">
        <f t="shared" si="12"/>
        <v/>
      </c>
      <c r="U114" s="270" t="str">
        <f t="shared" si="13"/>
        <v/>
      </c>
      <c r="V114" s="572"/>
      <c r="W114" s="573"/>
    </row>
    <row r="115" spans="1:23" ht="15.95" customHeight="1">
      <c r="A115" s="158" t="str">
        <f t="shared" si="8"/>
        <v/>
      </c>
      <c r="C115" s="337"/>
      <c r="D115" s="554"/>
      <c r="E115" s="535"/>
      <c r="F115" s="536"/>
      <c r="G115" s="534"/>
      <c r="H115" s="534"/>
      <c r="I115" s="337"/>
      <c r="J115" s="338"/>
      <c r="K115" s="337"/>
      <c r="L115" s="267"/>
      <c r="M115" s="267"/>
      <c r="N115" s="267"/>
      <c r="O115" s="267"/>
      <c r="P115" s="268" t="str">
        <f t="shared" si="9"/>
        <v/>
      </c>
      <c r="Q115" s="268" t="str">
        <f t="shared" si="10"/>
        <v/>
      </c>
      <c r="R115" s="269" t="str">
        <f t="shared" si="11"/>
        <v/>
      </c>
      <c r="S115" s="255" t="str">
        <f t="shared" si="15"/>
        <v/>
      </c>
      <c r="T115" s="270" t="str">
        <f t="shared" si="12"/>
        <v/>
      </c>
      <c r="U115" s="270" t="str">
        <f t="shared" si="13"/>
        <v/>
      </c>
      <c r="V115" s="572"/>
      <c r="W115" s="573"/>
    </row>
    <row r="116" spans="1:23" ht="15.95" customHeight="1">
      <c r="A116" s="158" t="str">
        <f t="shared" si="8"/>
        <v/>
      </c>
      <c r="C116" s="337"/>
      <c r="D116" s="534"/>
      <c r="E116" s="534"/>
      <c r="F116" s="534"/>
      <c r="G116" s="534"/>
      <c r="H116" s="534"/>
      <c r="I116" s="337"/>
      <c r="J116" s="338"/>
      <c r="K116" s="337"/>
      <c r="L116" s="267"/>
      <c r="M116" s="267"/>
      <c r="N116" s="267"/>
      <c r="O116" s="267"/>
      <c r="P116" s="268" t="str">
        <f t="shared" si="9"/>
        <v/>
      </c>
      <c r="Q116" s="268" t="str">
        <f t="shared" si="10"/>
        <v/>
      </c>
      <c r="R116" s="269" t="str">
        <f t="shared" si="11"/>
        <v/>
      </c>
      <c r="S116" s="255" t="str">
        <f t="shared" si="15"/>
        <v/>
      </c>
      <c r="T116" s="270" t="str">
        <f t="shared" si="12"/>
        <v/>
      </c>
      <c r="U116" s="270" t="str">
        <f t="shared" si="13"/>
        <v/>
      </c>
      <c r="V116" s="572"/>
      <c r="W116" s="573"/>
    </row>
    <row r="117" spans="1:23" ht="15.95" customHeight="1">
      <c r="A117" s="158" t="str">
        <f t="shared" si="8"/>
        <v/>
      </c>
      <c r="C117" s="337"/>
      <c r="D117" s="534"/>
      <c r="E117" s="534"/>
      <c r="F117" s="534"/>
      <c r="G117" s="534"/>
      <c r="H117" s="534"/>
      <c r="I117" s="337"/>
      <c r="J117" s="338"/>
      <c r="K117" s="337"/>
      <c r="L117" s="267"/>
      <c r="M117" s="267"/>
      <c r="N117" s="267"/>
      <c r="O117" s="267"/>
      <c r="P117" s="268" t="str">
        <f t="shared" si="9"/>
        <v/>
      </c>
      <c r="Q117" s="268" t="str">
        <f t="shared" si="10"/>
        <v/>
      </c>
      <c r="R117" s="269" t="str">
        <f t="shared" si="11"/>
        <v/>
      </c>
      <c r="S117" s="255" t="str">
        <f t="shared" si="15"/>
        <v/>
      </c>
      <c r="T117" s="270" t="str">
        <f t="shared" si="12"/>
        <v/>
      </c>
      <c r="U117" s="270" t="str">
        <f t="shared" si="13"/>
        <v/>
      </c>
      <c r="V117" s="572"/>
      <c r="W117" s="573"/>
    </row>
    <row r="118" spans="1:23" ht="15.95" customHeight="1">
      <c r="A118" s="158" t="str">
        <f t="shared" si="8"/>
        <v/>
      </c>
      <c r="C118" s="337"/>
      <c r="D118" s="534"/>
      <c r="E118" s="534"/>
      <c r="F118" s="534"/>
      <c r="G118" s="534"/>
      <c r="H118" s="534"/>
      <c r="I118" s="337"/>
      <c r="J118" s="338"/>
      <c r="K118" s="337"/>
      <c r="L118" s="267"/>
      <c r="M118" s="267"/>
      <c r="N118" s="267"/>
      <c r="O118" s="267"/>
      <c r="P118" s="268" t="str">
        <f t="shared" si="9"/>
        <v/>
      </c>
      <c r="Q118" s="268" t="str">
        <f t="shared" si="10"/>
        <v/>
      </c>
      <c r="R118" s="269" t="str">
        <f t="shared" si="11"/>
        <v/>
      </c>
      <c r="S118" s="255" t="str">
        <f t="shared" si="15"/>
        <v/>
      </c>
      <c r="T118" s="270" t="str">
        <f t="shared" si="12"/>
        <v/>
      </c>
      <c r="U118" s="270" t="str">
        <f t="shared" si="13"/>
        <v/>
      </c>
      <c r="V118" s="572"/>
      <c r="W118" s="573"/>
    </row>
    <row r="119" spans="1:23" ht="15.95" customHeight="1">
      <c r="A119" s="158" t="str">
        <f t="shared" si="8"/>
        <v/>
      </c>
      <c r="C119" s="337"/>
      <c r="D119" s="534"/>
      <c r="E119" s="534"/>
      <c r="F119" s="534"/>
      <c r="G119" s="534"/>
      <c r="H119" s="534"/>
      <c r="I119" s="337"/>
      <c r="J119" s="338"/>
      <c r="K119" s="337"/>
      <c r="L119" s="267"/>
      <c r="M119" s="267"/>
      <c r="N119" s="267"/>
      <c r="O119" s="267"/>
      <c r="P119" s="268" t="str">
        <f t="shared" si="9"/>
        <v/>
      </c>
      <c r="Q119" s="268" t="str">
        <f t="shared" si="10"/>
        <v/>
      </c>
      <c r="R119" s="269" t="str">
        <f t="shared" si="11"/>
        <v/>
      </c>
      <c r="S119" s="255" t="str">
        <f t="shared" si="15"/>
        <v/>
      </c>
      <c r="T119" s="270" t="str">
        <f t="shared" si="12"/>
        <v/>
      </c>
      <c r="U119" s="270" t="str">
        <f t="shared" si="13"/>
        <v/>
      </c>
      <c r="V119" s="572"/>
      <c r="W119" s="573"/>
    </row>
    <row r="120" spans="1:23" ht="15.95" customHeight="1">
      <c r="A120" s="158" t="str">
        <f t="shared" ref="A120:A143" si="16">CONCATENATE(C120,D120)</f>
        <v/>
      </c>
      <c r="C120" s="337"/>
      <c r="D120" s="534"/>
      <c r="E120" s="534"/>
      <c r="F120" s="534"/>
      <c r="G120" s="534"/>
      <c r="H120" s="534"/>
      <c r="I120" s="337"/>
      <c r="J120" s="338"/>
      <c r="K120" s="337"/>
      <c r="L120" s="267"/>
      <c r="M120" s="267"/>
      <c r="N120" s="267"/>
      <c r="O120" s="267"/>
      <c r="P120" s="268" t="str">
        <f>IF(C120="","",MAX(L120+M120,N120+O120))</f>
        <v/>
      </c>
      <c r="Q120" s="268" t="str">
        <f>IF(C120="","",MIN(L120+M120,N120+O120))</f>
        <v/>
      </c>
      <c r="R120" s="269" t="str">
        <f>IF(C120="","",L120+M120+N120+O120)</f>
        <v/>
      </c>
      <c r="S120" s="255" t="str">
        <f t="shared" si="15"/>
        <v/>
      </c>
      <c r="T120" s="270" t="str">
        <f t="shared" si="12"/>
        <v/>
      </c>
      <c r="U120" s="270" t="str">
        <f t="shared" si="13"/>
        <v/>
      </c>
      <c r="V120" s="572"/>
      <c r="W120" s="573"/>
    </row>
    <row r="121" spans="1:23" ht="15.95" customHeight="1">
      <c r="A121" s="158" t="str">
        <f t="shared" si="16"/>
        <v/>
      </c>
      <c r="C121" s="337"/>
      <c r="D121" s="534"/>
      <c r="E121" s="534"/>
      <c r="F121" s="534"/>
      <c r="G121" s="534"/>
      <c r="H121" s="534"/>
      <c r="I121" s="337"/>
      <c r="J121" s="338"/>
      <c r="K121" s="337"/>
      <c r="L121" s="267"/>
      <c r="M121" s="267"/>
      <c r="N121" s="267"/>
      <c r="O121" s="267"/>
      <c r="P121" s="268" t="str">
        <f t="shared" ref="P121:P143" si="17">IF(C121="","",MAX(L121+M121,N121+O121))</f>
        <v/>
      </c>
      <c r="Q121" s="268" t="str">
        <f t="shared" ref="Q121:Q143" si="18">IF(C121="","",MIN(L121+M121,N121+O121))</f>
        <v/>
      </c>
      <c r="R121" s="269" t="str">
        <f t="shared" ref="R121:R143" si="19">IF(C121="","",L121+M121+N121+O121)</f>
        <v/>
      </c>
      <c r="S121" s="255" t="str">
        <f t="shared" si="15"/>
        <v/>
      </c>
      <c r="T121" s="270" t="str">
        <f t="shared" si="12"/>
        <v/>
      </c>
      <c r="U121" s="270" t="str">
        <f t="shared" si="13"/>
        <v/>
      </c>
      <c r="V121" s="572"/>
      <c r="W121" s="573"/>
    </row>
    <row r="122" spans="1:23" ht="15.95" customHeight="1">
      <c r="A122" s="158" t="str">
        <f t="shared" si="16"/>
        <v/>
      </c>
      <c r="C122" s="337"/>
      <c r="D122" s="554"/>
      <c r="E122" s="535"/>
      <c r="F122" s="536"/>
      <c r="G122" s="534"/>
      <c r="H122" s="534"/>
      <c r="I122" s="337"/>
      <c r="J122" s="338"/>
      <c r="K122" s="337"/>
      <c r="L122" s="267"/>
      <c r="M122" s="267"/>
      <c r="N122" s="267"/>
      <c r="O122" s="267"/>
      <c r="P122" s="268" t="str">
        <f t="shared" si="17"/>
        <v/>
      </c>
      <c r="Q122" s="268" t="str">
        <f t="shared" si="18"/>
        <v/>
      </c>
      <c r="R122" s="269" t="str">
        <f t="shared" si="19"/>
        <v/>
      </c>
      <c r="S122" s="255" t="str">
        <f t="shared" si="15"/>
        <v/>
      </c>
      <c r="T122" s="270" t="str">
        <f t="shared" si="12"/>
        <v/>
      </c>
      <c r="U122" s="270" t="str">
        <f t="shared" si="13"/>
        <v/>
      </c>
      <c r="V122" s="572"/>
      <c r="W122" s="573"/>
    </row>
    <row r="123" spans="1:23" ht="15.95" customHeight="1">
      <c r="A123" s="158" t="str">
        <f t="shared" si="16"/>
        <v/>
      </c>
      <c r="C123" s="337"/>
      <c r="D123" s="554"/>
      <c r="E123" s="535"/>
      <c r="F123" s="536"/>
      <c r="G123" s="534"/>
      <c r="H123" s="534"/>
      <c r="I123" s="337"/>
      <c r="J123" s="338"/>
      <c r="K123" s="337"/>
      <c r="L123" s="267"/>
      <c r="M123" s="267"/>
      <c r="N123" s="267"/>
      <c r="O123" s="267"/>
      <c r="P123" s="268" t="str">
        <f t="shared" si="17"/>
        <v/>
      </c>
      <c r="Q123" s="268" t="str">
        <f t="shared" si="18"/>
        <v/>
      </c>
      <c r="R123" s="269" t="str">
        <f t="shared" si="19"/>
        <v/>
      </c>
      <c r="S123" s="255" t="str">
        <f t="shared" si="15"/>
        <v/>
      </c>
      <c r="T123" s="270" t="str">
        <f t="shared" si="12"/>
        <v/>
      </c>
      <c r="U123" s="270" t="str">
        <f t="shared" si="13"/>
        <v/>
      </c>
      <c r="V123" s="572"/>
      <c r="W123" s="573"/>
    </row>
    <row r="124" spans="1:23" ht="15.95" customHeight="1">
      <c r="A124" s="158" t="str">
        <f t="shared" si="16"/>
        <v/>
      </c>
      <c r="C124" s="337"/>
      <c r="D124" s="554"/>
      <c r="E124" s="535"/>
      <c r="F124" s="536"/>
      <c r="G124" s="534"/>
      <c r="H124" s="534"/>
      <c r="I124" s="337"/>
      <c r="J124" s="338"/>
      <c r="K124" s="337"/>
      <c r="L124" s="267"/>
      <c r="M124" s="267"/>
      <c r="N124" s="267"/>
      <c r="O124" s="267"/>
      <c r="P124" s="268" t="str">
        <f t="shared" si="17"/>
        <v/>
      </c>
      <c r="Q124" s="268" t="str">
        <f t="shared" si="18"/>
        <v/>
      </c>
      <c r="R124" s="269" t="str">
        <f t="shared" si="19"/>
        <v/>
      </c>
      <c r="S124" s="255" t="str">
        <f t="shared" si="15"/>
        <v/>
      </c>
      <c r="T124" s="270" t="str">
        <f t="shared" si="12"/>
        <v/>
      </c>
      <c r="U124" s="270" t="str">
        <f t="shared" si="13"/>
        <v/>
      </c>
      <c r="V124" s="572"/>
      <c r="W124" s="573"/>
    </row>
    <row r="125" spans="1:23" ht="15.95" customHeight="1">
      <c r="A125" s="158" t="str">
        <f t="shared" si="16"/>
        <v/>
      </c>
      <c r="C125" s="337"/>
      <c r="D125" s="534"/>
      <c r="E125" s="534"/>
      <c r="F125" s="534"/>
      <c r="G125" s="534"/>
      <c r="H125" s="534"/>
      <c r="I125" s="337"/>
      <c r="J125" s="338"/>
      <c r="K125" s="337"/>
      <c r="L125" s="267"/>
      <c r="M125" s="267"/>
      <c r="N125" s="267"/>
      <c r="O125" s="267"/>
      <c r="P125" s="268" t="str">
        <f t="shared" si="17"/>
        <v/>
      </c>
      <c r="Q125" s="268" t="str">
        <f t="shared" si="18"/>
        <v/>
      </c>
      <c r="R125" s="269" t="str">
        <f t="shared" si="19"/>
        <v/>
      </c>
      <c r="S125" s="255" t="str">
        <f t="shared" si="15"/>
        <v/>
      </c>
      <c r="T125" s="270" t="str">
        <f t="shared" si="12"/>
        <v/>
      </c>
      <c r="U125" s="270" t="str">
        <f t="shared" si="13"/>
        <v/>
      </c>
      <c r="V125" s="572"/>
      <c r="W125" s="573"/>
    </row>
    <row r="126" spans="1:23" ht="15.95" customHeight="1">
      <c r="A126" s="158" t="str">
        <f t="shared" si="16"/>
        <v/>
      </c>
      <c r="C126" s="337"/>
      <c r="D126" s="534"/>
      <c r="E126" s="534"/>
      <c r="F126" s="534"/>
      <c r="G126" s="534"/>
      <c r="H126" s="534"/>
      <c r="I126" s="337"/>
      <c r="J126" s="338"/>
      <c r="K126" s="337"/>
      <c r="L126" s="267"/>
      <c r="M126" s="267"/>
      <c r="N126" s="267"/>
      <c r="O126" s="267"/>
      <c r="P126" s="268" t="str">
        <f t="shared" si="17"/>
        <v/>
      </c>
      <c r="Q126" s="268" t="str">
        <f t="shared" si="18"/>
        <v/>
      </c>
      <c r="R126" s="269" t="str">
        <f t="shared" si="19"/>
        <v/>
      </c>
      <c r="S126" s="255" t="str">
        <f t="shared" si="15"/>
        <v/>
      </c>
      <c r="T126" s="270" t="str">
        <f t="shared" si="12"/>
        <v/>
      </c>
      <c r="U126" s="270" t="str">
        <f t="shared" si="13"/>
        <v/>
      </c>
      <c r="V126" s="572"/>
      <c r="W126" s="573"/>
    </row>
    <row r="127" spans="1:23" ht="15.95" customHeight="1">
      <c r="A127" s="158" t="str">
        <f t="shared" si="16"/>
        <v/>
      </c>
      <c r="C127" s="337"/>
      <c r="D127" s="534"/>
      <c r="E127" s="534"/>
      <c r="F127" s="534"/>
      <c r="G127" s="534"/>
      <c r="H127" s="534"/>
      <c r="I127" s="337"/>
      <c r="J127" s="338"/>
      <c r="K127" s="337"/>
      <c r="L127" s="267"/>
      <c r="M127" s="267"/>
      <c r="N127" s="267"/>
      <c r="O127" s="267"/>
      <c r="P127" s="268" t="str">
        <f t="shared" si="17"/>
        <v/>
      </c>
      <c r="Q127" s="268" t="str">
        <f t="shared" si="18"/>
        <v/>
      </c>
      <c r="R127" s="269" t="str">
        <f t="shared" si="19"/>
        <v/>
      </c>
      <c r="S127" s="255" t="str">
        <f t="shared" si="15"/>
        <v/>
      </c>
      <c r="T127" s="270" t="str">
        <f t="shared" si="12"/>
        <v/>
      </c>
      <c r="U127" s="270" t="str">
        <f t="shared" si="13"/>
        <v/>
      </c>
      <c r="V127" s="572"/>
      <c r="W127" s="573"/>
    </row>
    <row r="128" spans="1:23" ht="15.95" customHeight="1">
      <c r="A128" s="158" t="str">
        <f t="shared" si="16"/>
        <v/>
      </c>
      <c r="C128" s="337"/>
      <c r="D128" s="534"/>
      <c r="E128" s="534"/>
      <c r="F128" s="534"/>
      <c r="G128" s="534"/>
      <c r="H128" s="534"/>
      <c r="I128" s="337"/>
      <c r="J128" s="338"/>
      <c r="K128" s="337"/>
      <c r="L128" s="267"/>
      <c r="M128" s="267"/>
      <c r="N128" s="267"/>
      <c r="O128" s="267"/>
      <c r="P128" s="268" t="str">
        <f t="shared" si="17"/>
        <v/>
      </c>
      <c r="Q128" s="268" t="str">
        <f t="shared" si="18"/>
        <v/>
      </c>
      <c r="R128" s="269" t="str">
        <f t="shared" si="19"/>
        <v/>
      </c>
      <c r="S128" s="255" t="str">
        <f t="shared" si="15"/>
        <v/>
      </c>
      <c r="T128" s="270" t="str">
        <f t="shared" si="12"/>
        <v/>
      </c>
      <c r="U128" s="270" t="str">
        <f t="shared" si="13"/>
        <v/>
      </c>
      <c r="V128" s="572"/>
      <c r="W128" s="573"/>
    </row>
    <row r="129" spans="1:33" ht="15.95" customHeight="1">
      <c r="A129" s="158" t="str">
        <f t="shared" si="16"/>
        <v/>
      </c>
      <c r="C129" s="337"/>
      <c r="D129" s="534"/>
      <c r="E129" s="534"/>
      <c r="F129" s="534"/>
      <c r="G129" s="534"/>
      <c r="H129" s="534"/>
      <c r="I129" s="337"/>
      <c r="J129" s="338"/>
      <c r="K129" s="337"/>
      <c r="L129" s="267"/>
      <c r="M129" s="267"/>
      <c r="N129" s="267"/>
      <c r="O129" s="267"/>
      <c r="P129" s="268" t="str">
        <f t="shared" si="17"/>
        <v/>
      </c>
      <c r="Q129" s="268" t="str">
        <f t="shared" si="18"/>
        <v/>
      </c>
      <c r="R129" s="269" t="str">
        <f t="shared" si="19"/>
        <v/>
      </c>
      <c r="S129" s="255" t="str">
        <f t="shared" si="15"/>
        <v/>
      </c>
      <c r="T129" s="270" t="str">
        <f t="shared" si="12"/>
        <v/>
      </c>
      <c r="U129" s="270" t="str">
        <f t="shared" si="13"/>
        <v/>
      </c>
      <c r="V129" s="572"/>
      <c r="W129" s="573"/>
    </row>
    <row r="130" spans="1:33" ht="15.95" customHeight="1">
      <c r="A130" s="158" t="str">
        <f t="shared" si="16"/>
        <v/>
      </c>
      <c r="C130" s="337"/>
      <c r="D130" s="534"/>
      <c r="E130" s="534"/>
      <c r="F130" s="534"/>
      <c r="G130" s="534"/>
      <c r="H130" s="534"/>
      <c r="I130" s="337"/>
      <c r="J130" s="338"/>
      <c r="K130" s="337"/>
      <c r="L130" s="267"/>
      <c r="M130" s="267"/>
      <c r="N130" s="267"/>
      <c r="O130" s="267"/>
      <c r="P130" s="268" t="str">
        <f t="shared" si="17"/>
        <v/>
      </c>
      <c r="Q130" s="268" t="str">
        <f t="shared" si="18"/>
        <v/>
      </c>
      <c r="R130" s="269" t="str">
        <f t="shared" si="19"/>
        <v/>
      </c>
      <c r="S130" s="255" t="str">
        <f t="shared" si="15"/>
        <v/>
      </c>
      <c r="T130" s="270" t="str">
        <f t="shared" si="12"/>
        <v/>
      </c>
      <c r="U130" s="270" t="str">
        <f t="shared" si="13"/>
        <v/>
      </c>
      <c r="V130" s="572"/>
      <c r="W130" s="573"/>
    </row>
    <row r="131" spans="1:33" ht="15.95" customHeight="1">
      <c r="A131" s="158" t="str">
        <f t="shared" si="16"/>
        <v/>
      </c>
      <c r="C131" s="337"/>
      <c r="D131" s="554"/>
      <c r="E131" s="535"/>
      <c r="F131" s="536"/>
      <c r="G131" s="534"/>
      <c r="H131" s="534"/>
      <c r="I131" s="337"/>
      <c r="J131" s="338"/>
      <c r="K131" s="337"/>
      <c r="L131" s="267"/>
      <c r="M131" s="267"/>
      <c r="N131" s="267"/>
      <c r="O131" s="267"/>
      <c r="P131" s="268" t="str">
        <f t="shared" si="17"/>
        <v/>
      </c>
      <c r="Q131" s="268" t="str">
        <f t="shared" si="18"/>
        <v/>
      </c>
      <c r="R131" s="269" t="str">
        <f t="shared" si="19"/>
        <v/>
      </c>
      <c r="S131" s="255" t="str">
        <f t="shared" si="15"/>
        <v/>
      </c>
      <c r="T131" s="270" t="str">
        <f t="shared" si="12"/>
        <v/>
      </c>
      <c r="U131" s="270" t="str">
        <f t="shared" si="13"/>
        <v/>
      </c>
      <c r="V131" s="572"/>
      <c r="W131" s="573"/>
    </row>
    <row r="132" spans="1:33" ht="15.95" customHeight="1">
      <c r="A132" s="158" t="str">
        <f t="shared" si="16"/>
        <v/>
      </c>
      <c r="C132" s="337"/>
      <c r="D132" s="554"/>
      <c r="E132" s="535"/>
      <c r="F132" s="536"/>
      <c r="G132" s="534"/>
      <c r="H132" s="534"/>
      <c r="I132" s="337"/>
      <c r="J132" s="338"/>
      <c r="K132" s="337"/>
      <c r="L132" s="267"/>
      <c r="M132" s="267"/>
      <c r="N132" s="267"/>
      <c r="O132" s="267"/>
      <c r="P132" s="268" t="str">
        <f t="shared" si="17"/>
        <v/>
      </c>
      <c r="Q132" s="268" t="str">
        <f t="shared" si="18"/>
        <v/>
      </c>
      <c r="R132" s="269" t="str">
        <f t="shared" si="19"/>
        <v/>
      </c>
      <c r="S132" s="255" t="str">
        <f t="shared" si="15"/>
        <v/>
      </c>
      <c r="T132" s="270" t="str">
        <f t="shared" si="12"/>
        <v/>
      </c>
      <c r="U132" s="270" t="str">
        <f t="shared" si="13"/>
        <v/>
      </c>
      <c r="V132" s="572"/>
      <c r="W132" s="573"/>
    </row>
    <row r="133" spans="1:33" ht="15.95" customHeight="1">
      <c r="A133" s="158" t="str">
        <f t="shared" si="16"/>
        <v/>
      </c>
      <c r="C133" s="337"/>
      <c r="D133" s="554"/>
      <c r="E133" s="535"/>
      <c r="F133" s="536"/>
      <c r="G133" s="534"/>
      <c r="H133" s="534"/>
      <c r="I133" s="337"/>
      <c r="J133" s="338"/>
      <c r="K133" s="337"/>
      <c r="L133" s="267"/>
      <c r="M133" s="267"/>
      <c r="N133" s="267"/>
      <c r="O133" s="267"/>
      <c r="P133" s="268" t="str">
        <f t="shared" si="17"/>
        <v/>
      </c>
      <c r="Q133" s="268" t="str">
        <f t="shared" si="18"/>
        <v/>
      </c>
      <c r="R133" s="269" t="str">
        <f t="shared" si="19"/>
        <v/>
      </c>
      <c r="S133" s="255" t="str">
        <f t="shared" si="15"/>
        <v/>
      </c>
      <c r="T133" s="270" t="str">
        <f t="shared" si="12"/>
        <v/>
      </c>
      <c r="U133" s="270" t="str">
        <f t="shared" si="13"/>
        <v/>
      </c>
      <c r="V133" s="572"/>
      <c r="W133" s="573"/>
    </row>
    <row r="134" spans="1:33" ht="15.95" customHeight="1">
      <c r="A134" s="158" t="str">
        <f t="shared" si="16"/>
        <v/>
      </c>
      <c r="C134" s="337"/>
      <c r="D134" s="534"/>
      <c r="E134" s="534"/>
      <c r="F134" s="534"/>
      <c r="G134" s="534"/>
      <c r="H134" s="534"/>
      <c r="I134" s="337"/>
      <c r="J134" s="338"/>
      <c r="K134" s="337"/>
      <c r="L134" s="267"/>
      <c r="M134" s="267"/>
      <c r="N134" s="267"/>
      <c r="O134" s="267"/>
      <c r="P134" s="268" t="str">
        <f t="shared" si="17"/>
        <v/>
      </c>
      <c r="Q134" s="268" t="str">
        <f t="shared" si="18"/>
        <v/>
      </c>
      <c r="R134" s="269" t="str">
        <f t="shared" si="19"/>
        <v/>
      </c>
      <c r="S134" s="255" t="str">
        <f t="shared" si="15"/>
        <v/>
      </c>
      <c r="T134" s="270" t="str">
        <f t="shared" si="12"/>
        <v/>
      </c>
      <c r="U134" s="270" t="str">
        <f t="shared" si="13"/>
        <v/>
      </c>
      <c r="V134" s="572"/>
      <c r="W134" s="573"/>
    </row>
    <row r="135" spans="1:33" ht="15.95" customHeight="1">
      <c r="A135" s="158" t="str">
        <f t="shared" si="16"/>
        <v/>
      </c>
      <c r="C135" s="337"/>
      <c r="D135" s="534"/>
      <c r="E135" s="534"/>
      <c r="F135" s="534"/>
      <c r="G135" s="534"/>
      <c r="H135" s="534"/>
      <c r="I135" s="337"/>
      <c r="J135" s="338"/>
      <c r="K135" s="337"/>
      <c r="L135" s="267"/>
      <c r="M135" s="267"/>
      <c r="N135" s="267"/>
      <c r="O135" s="267"/>
      <c r="P135" s="268" t="str">
        <f t="shared" si="17"/>
        <v/>
      </c>
      <c r="Q135" s="268" t="str">
        <f t="shared" si="18"/>
        <v/>
      </c>
      <c r="R135" s="269" t="str">
        <f t="shared" si="19"/>
        <v/>
      </c>
      <c r="S135" s="255" t="str">
        <f t="shared" si="15"/>
        <v/>
      </c>
      <c r="T135" s="270" t="str">
        <f t="shared" si="12"/>
        <v/>
      </c>
      <c r="U135" s="270" t="str">
        <f t="shared" si="13"/>
        <v/>
      </c>
      <c r="V135" s="572"/>
      <c r="W135" s="573"/>
    </row>
    <row r="136" spans="1:33" ht="15.95" customHeight="1">
      <c r="A136" s="158" t="str">
        <f t="shared" si="16"/>
        <v/>
      </c>
      <c r="C136" s="337"/>
      <c r="D136" s="534"/>
      <c r="E136" s="534"/>
      <c r="F136" s="534"/>
      <c r="G136" s="534"/>
      <c r="H136" s="534"/>
      <c r="I136" s="337"/>
      <c r="J136" s="338"/>
      <c r="K136" s="337"/>
      <c r="L136" s="267"/>
      <c r="M136" s="267"/>
      <c r="N136" s="267"/>
      <c r="O136" s="267"/>
      <c r="P136" s="268" t="str">
        <f t="shared" si="17"/>
        <v/>
      </c>
      <c r="Q136" s="268" t="str">
        <f t="shared" si="18"/>
        <v/>
      </c>
      <c r="R136" s="269" t="str">
        <f t="shared" si="19"/>
        <v/>
      </c>
      <c r="S136" s="255" t="str">
        <f t="shared" si="15"/>
        <v/>
      </c>
      <c r="T136" s="270" t="str">
        <f t="shared" si="12"/>
        <v/>
      </c>
      <c r="U136" s="270" t="str">
        <f t="shared" si="13"/>
        <v/>
      </c>
      <c r="V136" s="572"/>
      <c r="W136" s="573"/>
    </row>
    <row r="137" spans="1:33" ht="15.95" customHeight="1">
      <c r="A137" s="158" t="str">
        <f t="shared" si="16"/>
        <v/>
      </c>
      <c r="C137" s="337"/>
      <c r="D137" s="534"/>
      <c r="E137" s="534"/>
      <c r="F137" s="534"/>
      <c r="G137" s="534"/>
      <c r="H137" s="534"/>
      <c r="I137" s="337"/>
      <c r="J137" s="338"/>
      <c r="K137" s="337"/>
      <c r="L137" s="267"/>
      <c r="M137" s="267"/>
      <c r="N137" s="267"/>
      <c r="O137" s="267"/>
      <c r="P137" s="268" t="str">
        <f t="shared" si="17"/>
        <v/>
      </c>
      <c r="Q137" s="268" t="str">
        <f t="shared" si="18"/>
        <v/>
      </c>
      <c r="R137" s="269" t="str">
        <f t="shared" si="19"/>
        <v/>
      </c>
      <c r="S137" s="255" t="str">
        <f t="shared" si="15"/>
        <v/>
      </c>
      <c r="T137" s="270" t="str">
        <f t="shared" si="12"/>
        <v/>
      </c>
      <c r="U137" s="270" t="str">
        <f t="shared" si="13"/>
        <v/>
      </c>
      <c r="V137" s="572"/>
      <c r="W137" s="573"/>
    </row>
    <row r="138" spans="1:33" ht="15.95" customHeight="1">
      <c r="A138" s="158" t="str">
        <f t="shared" si="16"/>
        <v/>
      </c>
      <c r="C138" s="337"/>
      <c r="D138" s="534"/>
      <c r="E138" s="534"/>
      <c r="F138" s="534"/>
      <c r="G138" s="534"/>
      <c r="H138" s="534"/>
      <c r="I138" s="337"/>
      <c r="J138" s="338"/>
      <c r="K138" s="337"/>
      <c r="L138" s="267"/>
      <c r="M138" s="267"/>
      <c r="N138" s="267"/>
      <c r="O138" s="267"/>
      <c r="P138" s="268" t="str">
        <f t="shared" si="17"/>
        <v/>
      </c>
      <c r="Q138" s="268" t="str">
        <f t="shared" si="18"/>
        <v/>
      </c>
      <c r="R138" s="269" t="str">
        <f t="shared" si="19"/>
        <v/>
      </c>
      <c r="S138" s="255" t="str">
        <f t="shared" si="15"/>
        <v/>
      </c>
      <c r="T138" s="270" t="str">
        <f t="shared" si="12"/>
        <v/>
      </c>
      <c r="U138" s="270" t="str">
        <f t="shared" si="13"/>
        <v/>
      </c>
      <c r="V138" s="572"/>
      <c r="W138" s="573"/>
    </row>
    <row r="139" spans="1:33" ht="15.95" customHeight="1">
      <c r="A139" s="158" t="str">
        <f t="shared" si="16"/>
        <v/>
      </c>
      <c r="C139" s="337"/>
      <c r="D139" s="534"/>
      <c r="E139" s="534"/>
      <c r="F139" s="534"/>
      <c r="G139" s="534"/>
      <c r="H139" s="534"/>
      <c r="I139" s="337"/>
      <c r="J139" s="338"/>
      <c r="K139" s="337"/>
      <c r="L139" s="267"/>
      <c r="M139" s="267"/>
      <c r="N139" s="267"/>
      <c r="O139" s="267"/>
      <c r="P139" s="268" t="str">
        <f t="shared" si="17"/>
        <v/>
      </c>
      <c r="Q139" s="268" t="str">
        <f t="shared" si="18"/>
        <v/>
      </c>
      <c r="R139" s="269" t="str">
        <f t="shared" si="19"/>
        <v/>
      </c>
      <c r="S139" s="255" t="str">
        <f t="shared" si="15"/>
        <v/>
      </c>
      <c r="T139" s="270" t="str">
        <f t="shared" si="12"/>
        <v/>
      </c>
      <c r="U139" s="270" t="str">
        <f t="shared" si="13"/>
        <v/>
      </c>
      <c r="V139" s="572"/>
      <c r="W139" s="573"/>
    </row>
    <row r="140" spans="1:33" ht="15.95" customHeight="1">
      <c r="A140" s="158" t="str">
        <f t="shared" si="16"/>
        <v/>
      </c>
      <c r="C140" s="337"/>
      <c r="D140" s="554"/>
      <c r="E140" s="535"/>
      <c r="F140" s="536"/>
      <c r="G140" s="534"/>
      <c r="H140" s="534"/>
      <c r="I140" s="337"/>
      <c r="J140" s="338"/>
      <c r="K140" s="337"/>
      <c r="L140" s="267"/>
      <c r="M140" s="267"/>
      <c r="N140" s="267"/>
      <c r="O140" s="267"/>
      <c r="P140" s="268" t="str">
        <f t="shared" si="17"/>
        <v/>
      </c>
      <c r="Q140" s="268" t="str">
        <f t="shared" si="18"/>
        <v/>
      </c>
      <c r="R140" s="269" t="str">
        <f t="shared" si="19"/>
        <v/>
      </c>
      <c r="S140" s="255" t="str">
        <f t="shared" si="15"/>
        <v/>
      </c>
      <c r="T140" s="270" t="str">
        <f t="shared" si="12"/>
        <v/>
      </c>
      <c r="U140" s="270" t="str">
        <f t="shared" si="13"/>
        <v/>
      </c>
      <c r="V140" s="572"/>
      <c r="W140" s="573"/>
    </row>
    <row r="141" spans="1:33" ht="15.95" customHeight="1">
      <c r="A141" s="158" t="str">
        <f t="shared" si="16"/>
        <v/>
      </c>
      <c r="C141" s="337"/>
      <c r="D141" s="554"/>
      <c r="E141" s="535"/>
      <c r="F141" s="536"/>
      <c r="G141" s="534"/>
      <c r="H141" s="534"/>
      <c r="I141" s="337"/>
      <c r="J141" s="338"/>
      <c r="K141" s="337"/>
      <c r="L141" s="267"/>
      <c r="M141" s="267"/>
      <c r="N141" s="267"/>
      <c r="O141" s="267"/>
      <c r="P141" s="268" t="str">
        <f t="shared" si="17"/>
        <v/>
      </c>
      <c r="Q141" s="268" t="str">
        <f t="shared" si="18"/>
        <v/>
      </c>
      <c r="R141" s="269" t="str">
        <f t="shared" si="19"/>
        <v/>
      </c>
      <c r="S141" s="255" t="str">
        <f t="shared" si="15"/>
        <v/>
      </c>
      <c r="T141" s="270" t="str">
        <f t="shared" si="12"/>
        <v/>
      </c>
      <c r="U141" s="270" t="str">
        <f t="shared" si="13"/>
        <v/>
      </c>
      <c r="V141" s="572"/>
      <c r="W141" s="573"/>
    </row>
    <row r="142" spans="1:33" ht="15.95" customHeight="1">
      <c r="A142" s="158" t="str">
        <f t="shared" si="16"/>
        <v/>
      </c>
      <c r="C142" s="337"/>
      <c r="D142" s="554"/>
      <c r="E142" s="535"/>
      <c r="F142" s="536"/>
      <c r="G142" s="534"/>
      <c r="H142" s="534"/>
      <c r="I142" s="337"/>
      <c r="J142" s="338"/>
      <c r="K142" s="337"/>
      <c r="L142" s="267"/>
      <c r="M142" s="267"/>
      <c r="N142" s="267"/>
      <c r="O142" s="267"/>
      <c r="P142" s="268" t="str">
        <f t="shared" si="17"/>
        <v/>
      </c>
      <c r="Q142" s="268" t="str">
        <f t="shared" si="18"/>
        <v/>
      </c>
      <c r="R142" s="269" t="str">
        <f t="shared" si="19"/>
        <v/>
      </c>
      <c r="S142" s="255" t="str">
        <f t="shared" si="15"/>
        <v/>
      </c>
      <c r="T142" s="270" t="str">
        <f t="shared" si="12"/>
        <v/>
      </c>
      <c r="U142" s="270" t="str">
        <f t="shared" si="13"/>
        <v/>
      </c>
      <c r="V142" s="572"/>
      <c r="W142" s="573"/>
    </row>
    <row r="143" spans="1:33" ht="15.95" customHeight="1">
      <c r="A143" s="158" t="str">
        <f t="shared" si="16"/>
        <v/>
      </c>
      <c r="C143" s="337"/>
      <c r="D143" s="554"/>
      <c r="E143" s="535"/>
      <c r="F143" s="536"/>
      <c r="G143" s="534"/>
      <c r="H143" s="534"/>
      <c r="I143" s="337"/>
      <c r="J143" s="338"/>
      <c r="K143" s="337"/>
      <c r="L143" s="267"/>
      <c r="M143" s="267"/>
      <c r="N143" s="267"/>
      <c r="O143" s="267"/>
      <c r="P143" s="268" t="str">
        <f t="shared" si="17"/>
        <v/>
      </c>
      <c r="Q143" s="268" t="str">
        <f t="shared" si="18"/>
        <v/>
      </c>
      <c r="R143" s="269" t="str">
        <f t="shared" si="19"/>
        <v/>
      </c>
      <c r="S143" s="255" t="str">
        <f t="shared" si="15"/>
        <v/>
      </c>
      <c r="T143" s="270" t="str">
        <f t="shared" si="12"/>
        <v/>
      </c>
      <c r="U143" s="270" t="str">
        <f t="shared" si="13"/>
        <v/>
      </c>
      <c r="V143" s="572"/>
      <c r="W143" s="573"/>
    </row>
    <row r="144" spans="1:33" ht="13.5" customHeight="1">
      <c r="AG144"/>
    </row>
    <row r="145" spans="3:33" ht="13.5" customHeight="1"/>
    <row r="146" spans="3:33" ht="13.5" customHeight="1">
      <c r="C146" s="158" t="s">
        <v>397</v>
      </c>
    </row>
    <row r="147" spans="3:33">
      <c r="Y147" s="172" t="s">
        <v>589</v>
      </c>
      <c r="Z147">
        <v>195</v>
      </c>
      <c r="AA147"/>
      <c r="AF147"/>
      <c r="AG147"/>
    </row>
    <row r="148" spans="3:33" ht="13.5" customHeight="1">
      <c r="C148" s="158" t="str">
        <f>IF(I91="独立","","基礎梁の検討（X通り）")</f>
        <v>基礎梁の検討（X通り）</v>
      </c>
      <c r="I148" s="577"/>
      <c r="J148" s="577"/>
      <c r="Y148" s="172" t="s">
        <v>448</v>
      </c>
      <c r="Z148">
        <f>7/8*(Z151-70)</f>
        <v>288.75</v>
      </c>
      <c r="AA148"/>
    </row>
    <row r="149" spans="3:33" ht="15.95" customHeight="1">
      <c r="C149" s="293"/>
      <c r="D149" s="294"/>
      <c r="E149" s="294"/>
      <c r="F149" s="294"/>
      <c r="G149" s="542" t="s">
        <v>462</v>
      </c>
      <c r="H149" s="542"/>
      <c r="I149" s="542"/>
      <c r="J149" s="543"/>
      <c r="K149" s="552" t="s">
        <v>398</v>
      </c>
      <c r="L149" s="552"/>
      <c r="M149" s="552" t="s">
        <v>399</v>
      </c>
      <c r="N149" s="552"/>
      <c r="O149" s="551" t="s">
        <v>521</v>
      </c>
      <c r="P149" s="551"/>
      <c r="Q149" s="551"/>
      <c r="R149" s="551"/>
      <c r="S149" s="552" t="s">
        <v>400</v>
      </c>
      <c r="T149" s="552"/>
      <c r="U149" s="552" t="str">
        <f>IF($I$91="布","必要接地圧","")</f>
        <v/>
      </c>
      <c r="V149" s="552"/>
      <c r="W149" s="574" t="str">
        <f>IF($I$91="布","配筋
接地圧
適否",IF($I$91="ベタ","配筋
適否",IF($I$91="独立","","")))</f>
        <v/>
      </c>
      <c r="Y149"/>
      <c r="Z149"/>
      <c r="AA149"/>
    </row>
    <row r="150" spans="3:33" ht="15.95" customHeight="1">
      <c r="C150" s="552" t="s">
        <v>459</v>
      </c>
      <c r="D150" s="568" t="s">
        <v>460</v>
      </c>
      <c r="E150" s="569"/>
      <c r="F150" s="570"/>
      <c r="G150" s="568" t="s">
        <v>401</v>
      </c>
      <c r="H150" s="570"/>
      <c r="I150" s="282" t="s">
        <v>402</v>
      </c>
      <c r="J150" s="288" t="s">
        <v>403</v>
      </c>
      <c r="K150" s="553"/>
      <c r="L150" s="553"/>
      <c r="M150" s="553"/>
      <c r="N150" s="553"/>
      <c r="O150" s="551" t="str">
        <f>IF(I91="独立","","該当P")</f>
        <v>該当P</v>
      </c>
      <c r="P150" s="297" t="s">
        <v>401</v>
      </c>
      <c r="Q150" s="297" t="s">
        <v>402</v>
      </c>
      <c r="R150" s="297" t="s">
        <v>403</v>
      </c>
      <c r="S150" s="553"/>
      <c r="T150" s="553"/>
      <c r="U150" s="553"/>
      <c r="V150" s="553"/>
      <c r="W150" s="575"/>
      <c r="Y150" t="s">
        <v>449</v>
      </c>
      <c r="Z150">
        <v>400</v>
      </c>
      <c r="AA150" t="s">
        <v>450</v>
      </c>
    </row>
    <row r="151" spans="3:33" ht="15.95" customHeight="1">
      <c r="C151" s="558"/>
      <c r="D151" s="549"/>
      <c r="E151" s="571"/>
      <c r="F151" s="550"/>
      <c r="G151" s="549" t="s">
        <v>396</v>
      </c>
      <c r="H151" s="550"/>
      <c r="I151" s="282" t="s">
        <v>394</v>
      </c>
      <c r="J151" s="290" t="s">
        <v>394</v>
      </c>
      <c r="K151" s="558"/>
      <c r="L151" s="558"/>
      <c r="M151" s="558" t="s">
        <v>404</v>
      </c>
      <c r="N151" s="558"/>
      <c r="O151" s="551"/>
      <c r="P151" s="298" t="s">
        <v>396</v>
      </c>
      <c r="Q151" s="298" t="s">
        <v>394</v>
      </c>
      <c r="R151" s="298" t="s">
        <v>394</v>
      </c>
      <c r="S151" s="558"/>
      <c r="T151" s="558"/>
      <c r="U151" s="558"/>
      <c r="V151" s="558"/>
      <c r="W151" s="576"/>
      <c r="Y151" t="s">
        <v>451</v>
      </c>
      <c r="Z151">
        <v>400</v>
      </c>
      <c r="AA151" t="s">
        <v>450</v>
      </c>
    </row>
    <row r="152" spans="3:33" ht="15.95" customHeight="1">
      <c r="C152" s="263"/>
      <c r="D152" s="554"/>
      <c r="E152" s="556" t="s">
        <v>447</v>
      </c>
      <c r="F152" s="536"/>
      <c r="G152" s="271" t="str">
        <f>IF(D152="","",D152)</f>
        <v/>
      </c>
      <c r="H152" s="258" t="str">
        <f>IF(C152="","",VLOOKUP(C152&amp;G152,$A$98:$W$143,22,FALSE))</f>
        <v/>
      </c>
      <c r="I152" s="272" t="str">
        <f>IF(C152="","",VLOOKUP(C152&amp;G152,$A$98:$S$143,18,FALSE))</f>
        <v/>
      </c>
      <c r="J152" s="273"/>
      <c r="K152" s="563"/>
      <c r="L152" s="565" t="str">
        <f>IF(C152="","","D-13")</f>
        <v/>
      </c>
      <c r="M152" s="598"/>
      <c r="N152" s="599"/>
      <c r="O152" s="255" t="str">
        <f>IF(H152="","",IF(H152=150,"P102",IF(H152&gt;=130,"P101",IF(H152&gt;=110,"P100",IF(H152&gt;=90,"P99",IF(H152&gt;=70,"P98",IF(H152&gt;=50,"P97",IF(H152&gt;=30,"P96",IF(H152&gt;=10,"P95","")))))))))</f>
        <v/>
      </c>
      <c r="P152" s="258" t="str">
        <f t="shared" ref="P152:P189" si="20">IF(C152="","",IF(H152&lt;=10,10,IF(H152&lt;=20,20,IF(H152&lt;=30,30,IF(H152&lt;=40,40,IF(H152&lt;=50,50,IF(H152&lt;=60,60,IF(H152&lt;=70,70,IF(H152&lt;=80,80,IF(H152&lt;=90,90,IF(H152&lt;=100,100,IF(H152&lt;=110,110,IF(H152&lt;=120,120,IF(H152&lt;=130,130,IF(H152&lt;=140,140,IF(H152&lt;=150,150,"NG"))))))))))))))))</f>
        <v/>
      </c>
      <c r="Q152" s="274" t="str">
        <f t="shared" ref="Q152:Q189" si="21">IF(C152="","",IF(I152&lt;=0.985,0.985,IF(I152&lt;=1.97,1.97,IF(I152&lt;=2.955,2.955,IF(I152&lt;=3.94,3.94,IF(I152&lt;=4.925,4.925,IF(I152&lt;=5.91,5.91,IF(I152&lt;=6.895,6.895,IF(I152&lt;=7.88,7.88,IF(I152&lt;=8.865,8.865,IF(I152&lt;=9.85,9.85,IF(I152&lt;=10.835,10.835,IF(I152&lt;=11.82,11.82,IF(I152&lt;=12.805,12.805,IF(I152&lt;=13.79,13.79,IF(I152&lt;=14.775,14.775,IF(I152&lt;=15.76,15.76,"NG")))))))))))))))))</f>
        <v/>
      </c>
      <c r="R152" s="274" t="str">
        <f t="shared" ref="R152:R189" si="22">IF(C152="","",IF(J152&lt;=0.985,0.985,IF(J152&lt;=1.97,1.97,IF(J152&lt;=2.955,2.955,IF(J152&lt;=3.4475,3.4475,IF(J152&lt;=3.94,3.94,IF(J152&lt;=4.925,4.925,IF(J152&lt;=5.91,5.91,IF(J152&lt;=6.895,6.895,IF(J152&lt;=7.88,7.88,IF(J152&lt;=8.865,8.865,IF(J152&lt;=9.85,9.85,IF(J152&lt;=10.835,10.835,IF(J152&lt;=11.82,11.82,IF(J152&lt;=12.805,12.805,IF(J152&lt;=13.79,13.79,IF(J152&lt;=14.775,14.775,IF(I152&lt;=15.76,15.76,"NG"))))))))))))))))))</f>
        <v/>
      </c>
      <c r="S152" s="340" t="str">
        <f>IF(C152="","",IF(((1/8-0.35*1/12)*(H152/(I152/2))*J152^2)/$Z$147/$Z$148*10^6&lt;=127,1,IF(((1/8-0.35*1/12)*(H152/(I152/2))*J152^2)/$Z$147/$Z$148*10^6&lt;=254,2,IF(((1/8-0.35*1/12)*(H152/(I152/2))*J152^2)/$Z$147/$Z$148*10^6&lt;=381,3,IF(((1/8-0.35*1/12)*(H152/(I152/2))*J152^2)/$Z$147/$Z$148*10^6&lt;=508,4,"NG")))))</f>
        <v/>
      </c>
      <c r="T152" s="275" t="str">
        <f t="shared" ref="T152:T189" si="23">IF(C152="","","D-13")</f>
        <v/>
      </c>
      <c r="U152" s="559" t="str">
        <f t="shared" ref="U152:U189" si="24">IF($I$91="布",IF(C152="","",H152/(I152/2*$Z$150/1000)+2.4*9.8*$Z$151/1000),"")</f>
        <v/>
      </c>
      <c r="V152" s="560"/>
      <c r="W152" s="561" t="str">
        <f>IF(C152="","",IF($I$91="布",IF(AND(K152&gt;=S152,K152&gt;=S153,$M$152&gt;=U152,$M$152&gt;=U153),"OK","NG"),IF($I$91="ベタ",IF(AND(K152&gt;=S152,K152&gt;=S153),"OK","NG"))))</f>
        <v/>
      </c>
    </row>
    <row r="153" spans="3:33" ht="15.95" customHeight="1">
      <c r="C153" s="336" t="str">
        <f>IF(C152="","",C152)</f>
        <v/>
      </c>
      <c r="D153" s="554"/>
      <c r="E153" s="556"/>
      <c r="F153" s="536"/>
      <c r="G153" s="271" t="str">
        <f>IF(F152="","",F152)</f>
        <v/>
      </c>
      <c r="H153" s="258" t="str">
        <f t="shared" ref="H153:H189" si="25">IF(C153="","",VLOOKUP(C153&amp;G153,$A$98:$W$143,22,FALSE))</f>
        <v/>
      </c>
      <c r="I153" s="272" t="str">
        <f>IF(C153="","",VLOOKUP(C153&amp;G153,$A$98:$S$143,18,FALSE))</f>
        <v/>
      </c>
      <c r="J153" s="277" t="str">
        <f>IF(J152="","",J152)</f>
        <v/>
      </c>
      <c r="K153" s="564"/>
      <c r="L153" s="566"/>
      <c r="M153" s="600"/>
      <c r="N153" s="601"/>
      <c r="O153" s="255" t="str">
        <f t="shared" ref="O153:O189" si="26">IF(H153="","",IF(H153=150,"P102",IF(H153&gt;=130,"P101",IF(H153&gt;=110,"P100",IF(H153&gt;=90,"P99",IF(H153&gt;=70,"P98",IF(H153&gt;=50,"P97",IF(H153&gt;=30,"P96",IF(H153&gt;=10,"P95","")))))))))</f>
        <v/>
      </c>
      <c r="P153" s="258" t="str">
        <f t="shared" si="20"/>
        <v/>
      </c>
      <c r="Q153" s="274" t="str">
        <f t="shared" si="21"/>
        <v/>
      </c>
      <c r="R153" s="274" t="str">
        <f t="shared" si="22"/>
        <v/>
      </c>
      <c r="S153" s="340" t="str">
        <f>IF(C153="","",IF(((1/8-0.35*1/12)*(H153/(I153/2))*J153^2)/$Z$147/$Z$148*10^6&lt;=127,1,IF(((1/8-0.35*1/12)*(H153/(I153/2))*J153^2)/$Z$147/$Z$148*10^6&lt;=254,2,IF(((1/8-0.35*1/12)*(H153/(I153/2))*J153^2)/$Z$147/$Z$148*10^6&lt;=381,3,IF(((1/8-0.35*1/12)*(H153/(I153/2))*J153^2)/$Z$147/$Z$148*10^6&lt;=508,4,"NG")))))</f>
        <v/>
      </c>
      <c r="T153" s="275" t="str">
        <f t="shared" si="23"/>
        <v/>
      </c>
      <c r="U153" s="559" t="str">
        <f t="shared" si="24"/>
        <v/>
      </c>
      <c r="V153" s="560"/>
      <c r="W153" s="562"/>
    </row>
    <row r="154" spans="3:33" ht="15.95" customHeight="1">
      <c r="C154" s="263"/>
      <c r="D154" s="554"/>
      <c r="E154" s="556" t="s">
        <v>447</v>
      </c>
      <c r="F154" s="536"/>
      <c r="G154" s="271" t="str">
        <f t="shared" ref="G154" si="27">IF(D154="","",D154)</f>
        <v/>
      </c>
      <c r="H154" s="258" t="str">
        <f t="shared" si="25"/>
        <v/>
      </c>
      <c r="I154" s="272" t="str">
        <f t="shared" ref="I154:I189" si="28">IF(C154="","",VLOOKUP(C154&amp;G154,$A$98:$S$143,18,FALSE))</f>
        <v/>
      </c>
      <c r="J154" s="273"/>
      <c r="K154" s="563"/>
      <c r="L154" s="565" t="str">
        <f t="shared" ref="L154" si="29">IF(C154="","","D-13")</f>
        <v/>
      </c>
      <c r="M154" s="600"/>
      <c r="N154" s="601"/>
      <c r="O154" s="255" t="str">
        <f t="shared" si="26"/>
        <v/>
      </c>
      <c r="P154" s="258" t="str">
        <f t="shared" si="20"/>
        <v/>
      </c>
      <c r="Q154" s="274" t="str">
        <f t="shared" si="21"/>
        <v/>
      </c>
      <c r="R154" s="274" t="str">
        <f t="shared" si="22"/>
        <v/>
      </c>
      <c r="S154" s="340" t="str">
        <f t="shared" ref="S154:S189" si="30">IF(C154="","",IF(((1/8-0.35*1/12)*(H154/(I154/2))*J154^2)/$Z$147/$Z$148*10^6&lt;=127,1,IF(((1/8-0.35*1/12)*(H154/(I154/2))*J154^2)/$Z$147/$Z$148*10^6&lt;=254,2,IF(((1/8-0.35*1/12)*(H154/(I154/2))*J154^2)/$Z$147/$Z$148*10^6&lt;=381,3,IF(((1/8-0.35*1/12)*(H154/(I154/2))*J154^2)/$Z$147/$Z$148*10^6&lt;=508,4,"NG")))))</f>
        <v/>
      </c>
      <c r="T154" s="275" t="str">
        <f t="shared" si="23"/>
        <v/>
      </c>
      <c r="U154" s="559" t="str">
        <f t="shared" si="24"/>
        <v/>
      </c>
      <c r="V154" s="560"/>
      <c r="W154" s="561" t="str">
        <f>IF(C154="","",IF($I$91="布",IF(AND(K154&gt;=S154,K154&gt;=S155,$M$152&gt;=U154,$M$152&gt;=U155),"OK","NG"),IF($I$91="ベタ",IF(AND(K154&gt;=S154,K154&gt;=S155),"OK","NG"))))</f>
        <v/>
      </c>
    </row>
    <row r="155" spans="3:33" ht="15.95" customHeight="1">
      <c r="C155" s="336" t="str">
        <f>IF(C154="","",C154)</f>
        <v/>
      </c>
      <c r="D155" s="554"/>
      <c r="E155" s="556"/>
      <c r="F155" s="536"/>
      <c r="G155" s="271" t="str">
        <f t="shared" ref="G155" si="31">IF(F154="","",F154)</f>
        <v/>
      </c>
      <c r="H155" s="258" t="str">
        <f t="shared" si="25"/>
        <v/>
      </c>
      <c r="I155" s="272" t="str">
        <f t="shared" si="28"/>
        <v/>
      </c>
      <c r="J155" s="277" t="str">
        <f>IF(J154="","",J154)</f>
        <v/>
      </c>
      <c r="K155" s="564"/>
      <c r="L155" s="566"/>
      <c r="M155" s="600"/>
      <c r="N155" s="601"/>
      <c r="O155" s="255" t="str">
        <f t="shared" si="26"/>
        <v/>
      </c>
      <c r="P155" s="258" t="str">
        <f t="shared" si="20"/>
        <v/>
      </c>
      <c r="Q155" s="274" t="str">
        <f t="shared" si="21"/>
        <v/>
      </c>
      <c r="R155" s="274" t="str">
        <f t="shared" si="22"/>
        <v/>
      </c>
      <c r="S155" s="340" t="str">
        <f t="shared" si="30"/>
        <v/>
      </c>
      <c r="T155" s="275" t="str">
        <f t="shared" si="23"/>
        <v/>
      </c>
      <c r="U155" s="559" t="str">
        <f t="shared" si="24"/>
        <v/>
      </c>
      <c r="V155" s="560"/>
      <c r="W155" s="562"/>
    </row>
    <row r="156" spans="3:33" ht="15.95" customHeight="1">
      <c r="C156" s="263"/>
      <c r="D156" s="554"/>
      <c r="E156" s="556" t="s">
        <v>447</v>
      </c>
      <c r="F156" s="536"/>
      <c r="G156" s="271" t="str">
        <f t="shared" ref="G156" si="32">IF(D156="","",D156)</f>
        <v/>
      </c>
      <c r="H156" s="258" t="str">
        <f t="shared" si="25"/>
        <v/>
      </c>
      <c r="I156" s="272" t="str">
        <f t="shared" si="28"/>
        <v/>
      </c>
      <c r="J156" s="273"/>
      <c r="K156" s="563"/>
      <c r="L156" s="565" t="str">
        <f t="shared" ref="L156" si="33">IF(C156="","","D-13")</f>
        <v/>
      </c>
      <c r="M156" s="600"/>
      <c r="N156" s="601"/>
      <c r="O156" s="255" t="str">
        <f t="shared" si="26"/>
        <v/>
      </c>
      <c r="P156" s="258" t="str">
        <f t="shared" si="20"/>
        <v/>
      </c>
      <c r="Q156" s="274" t="str">
        <f t="shared" si="21"/>
        <v/>
      </c>
      <c r="R156" s="274" t="str">
        <f t="shared" si="22"/>
        <v/>
      </c>
      <c r="S156" s="340" t="str">
        <f t="shared" si="30"/>
        <v/>
      </c>
      <c r="T156" s="275" t="str">
        <f t="shared" si="23"/>
        <v/>
      </c>
      <c r="U156" s="559" t="str">
        <f t="shared" si="24"/>
        <v/>
      </c>
      <c r="V156" s="560"/>
      <c r="W156" s="561" t="str">
        <f>IF(C156="","",IF($I$91="布",IF(AND(K156&gt;=S156,K156&gt;=S157,$M$152&gt;=U156,$M$152&gt;=U157),"OK","NG"),IF($I$91="ベタ",IF(AND(K156&gt;=S156,K156&gt;=S157),"OK","NG"))))</f>
        <v/>
      </c>
    </row>
    <row r="157" spans="3:33" ht="15.95" customHeight="1">
      <c r="C157" s="336" t="str">
        <f>IF(C156="","",C156)</f>
        <v/>
      </c>
      <c r="D157" s="554"/>
      <c r="E157" s="556"/>
      <c r="F157" s="536"/>
      <c r="G157" s="271" t="str">
        <f t="shared" ref="G157" si="34">IF(F156="","",F156)</f>
        <v/>
      </c>
      <c r="H157" s="258" t="str">
        <f t="shared" si="25"/>
        <v/>
      </c>
      <c r="I157" s="272" t="str">
        <f t="shared" si="28"/>
        <v/>
      </c>
      <c r="J157" s="277" t="str">
        <f>IF(J156="","",J156)</f>
        <v/>
      </c>
      <c r="K157" s="564"/>
      <c r="L157" s="566"/>
      <c r="M157" s="600"/>
      <c r="N157" s="601"/>
      <c r="O157" s="255" t="str">
        <f t="shared" si="26"/>
        <v/>
      </c>
      <c r="P157" s="258" t="str">
        <f t="shared" si="20"/>
        <v/>
      </c>
      <c r="Q157" s="274" t="str">
        <f t="shared" si="21"/>
        <v/>
      </c>
      <c r="R157" s="274" t="str">
        <f t="shared" si="22"/>
        <v/>
      </c>
      <c r="S157" s="340" t="str">
        <f t="shared" si="30"/>
        <v/>
      </c>
      <c r="T157" s="275" t="str">
        <f t="shared" si="23"/>
        <v/>
      </c>
      <c r="U157" s="559" t="str">
        <f t="shared" si="24"/>
        <v/>
      </c>
      <c r="V157" s="560"/>
      <c r="W157" s="562"/>
    </row>
    <row r="158" spans="3:33" ht="15.95" customHeight="1">
      <c r="C158" s="263"/>
      <c r="D158" s="554"/>
      <c r="E158" s="555" t="s">
        <v>447</v>
      </c>
      <c r="F158" s="536"/>
      <c r="G158" s="271" t="str">
        <f t="shared" ref="G158" si="35">IF(D158="","",D158)</f>
        <v/>
      </c>
      <c r="H158" s="258" t="str">
        <f t="shared" si="25"/>
        <v/>
      </c>
      <c r="I158" s="272" t="str">
        <f t="shared" si="28"/>
        <v/>
      </c>
      <c r="J158" s="273"/>
      <c r="K158" s="563"/>
      <c r="L158" s="565" t="str">
        <f t="shared" ref="L158" si="36">IF(C158="","","D-13")</f>
        <v/>
      </c>
      <c r="M158" s="600"/>
      <c r="N158" s="601"/>
      <c r="O158" s="255" t="str">
        <f t="shared" si="26"/>
        <v/>
      </c>
      <c r="P158" s="258" t="str">
        <f t="shared" si="20"/>
        <v/>
      </c>
      <c r="Q158" s="274" t="str">
        <f t="shared" si="21"/>
        <v/>
      </c>
      <c r="R158" s="274" t="str">
        <f t="shared" si="22"/>
        <v/>
      </c>
      <c r="S158" s="340" t="str">
        <f t="shared" si="30"/>
        <v/>
      </c>
      <c r="T158" s="275" t="str">
        <f t="shared" si="23"/>
        <v/>
      </c>
      <c r="U158" s="559" t="str">
        <f t="shared" si="24"/>
        <v/>
      </c>
      <c r="V158" s="560"/>
      <c r="W158" s="561" t="str">
        <f>IF(C158="","",IF($I$91="布",IF(AND(K158&gt;=S158,K158&gt;=S159,$M$152&gt;=U158,$M$152&gt;=U159),"OK","NG"),IF($I$91="ベタ",IF(AND(K158&gt;=S158,K158&gt;=S159),"OK","NG"))))</f>
        <v/>
      </c>
    </row>
    <row r="159" spans="3:33" ht="15.95" customHeight="1">
      <c r="C159" s="336" t="str">
        <f>IF(C158="","",C158)</f>
        <v/>
      </c>
      <c r="D159" s="554"/>
      <c r="E159" s="555"/>
      <c r="F159" s="536"/>
      <c r="G159" s="271" t="str">
        <f t="shared" ref="G159" si="37">IF(F158="","",F158)</f>
        <v/>
      </c>
      <c r="H159" s="258" t="str">
        <f t="shared" si="25"/>
        <v/>
      </c>
      <c r="I159" s="272" t="str">
        <f t="shared" si="28"/>
        <v/>
      </c>
      <c r="J159" s="277" t="str">
        <f>IF(J158="","",J158)</f>
        <v/>
      </c>
      <c r="K159" s="564"/>
      <c r="L159" s="566"/>
      <c r="M159" s="600"/>
      <c r="N159" s="601"/>
      <c r="O159" s="255" t="str">
        <f t="shared" si="26"/>
        <v/>
      </c>
      <c r="P159" s="258" t="str">
        <f t="shared" si="20"/>
        <v/>
      </c>
      <c r="Q159" s="274" t="str">
        <f t="shared" si="21"/>
        <v/>
      </c>
      <c r="R159" s="274" t="str">
        <f t="shared" si="22"/>
        <v/>
      </c>
      <c r="S159" s="340" t="str">
        <f t="shared" si="30"/>
        <v/>
      </c>
      <c r="T159" s="275" t="str">
        <f t="shared" si="23"/>
        <v/>
      </c>
      <c r="U159" s="559" t="str">
        <f t="shared" si="24"/>
        <v/>
      </c>
      <c r="V159" s="560"/>
      <c r="W159" s="562"/>
    </row>
    <row r="160" spans="3:33" ht="15.95" customHeight="1">
      <c r="C160" s="263"/>
      <c r="D160" s="554"/>
      <c r="E160" s="555" t="s">
        <v>447</v>
      </c>
      <c r="F160" s="536"/>
      <c r="G160" s="271" t="str">
        <f t="shared" ref="G160" si="38">IF(D160="","",D160)</f>
        <v/>
      </c>
      <c r="H160" s="258" t="str">
        <f t="shared" si="25"/>
        <v/>
      </c>
      <c r="I160" s="272" t="str">
        <f t="shared" si="28"/>
        <v/>
      </c>
      <c r="J160" s="273"/>
      <c r="K160" s="563"/>
      <c r="L160" s="565" t="str">
        <f t="shared" ref="L160" si="39">IF(C160="","","D-13")</f>
        <v/>
      </c>
      <c r="M160" s="600"/>
      <c r="N160" s="601"/>
      <c r="O160" s="255" t="str">
        <f t="shared" si="26"/>
        <v/>
      </c>
      <c r="P160" s="258" t="str">
        <f t="shared" si="20"/>
        <v/>
      </c>
      <c r="Q160" s="274" t="str">
        <f t="shared" si="21"/>
        <v/>
      </c>
      <c r="R160" s="274" t="str">
        <f t="shared" si="22"/>
        <v/>
      </c>
      <c r="S160" s="340" t="str">
        <f t="shared" si="30"/>
        <v/>
      </c>
      <c r="T160" s="275" t="str">
        <f t="shared" si="23"/>
        <v/>
      </c>
      <c r="U160" s="559" t="str">
        <f t="shared" si="24"/>
        <v/>
      </c>
      <c r="V160" s="560"/>
      <c r="W160" s="561" t="str">
        <f>IF(C160="","",IF($I$91="布",IF(AND(K160&gt;=S160,K160&gt;=S161,$M$152&gt;=U160,$M$152&gt;=U161),"OK","NG"),IF($I$91="ベタ",IF(AND(K160&gt;=S160,K160&gt;=S161),"OK","NG"))))</f>
        <v/>
      </c>
    </row>
    <row r="161" spans="3:23" ht="15.95" customHeight="1">
      <c r="C161" s="336" t="str">
        <f>IF(C160="","",C160)</f>
        <v/>
      </c>
      <c r="D161" s="554"/>
      <c r="E161" s="555"/>
      <c r="F161" s="536"/>
      <c r="G161" s="271" t="str">
        <f t="shared" ref="G161" si="40">IF(F160="","",F160)</f>
        <v/>
      </c>
      <c r="H161" s="258" t="str">
        <f t="shared" si="25"/>
        <v/>
      </c>
      <c r="I161" s="272" t="str">
        <f t="shared" si="28"/>
        <v/>
      </c>
      <c r="J161" s="277" t="str">
        <f>IF(J160="","",J160)</f>
        <v/>
      </c>
      <c r="K161" s="564"/>
      <c r="L161" s="566"/>
      <c r="M161" s="600"/>
      <c r="N161" s="601"/>
      <c r="O161" s="255" t="str">
        <f t="shared" si="26"/>
        <v/>
      </c>
      <c r="P161" s="258" t="str">
        <f t="shared" si="20"/>
        <v/>
      </c>
      <c r="Q161" s="274" t="str">
        <f t="shared" si="21"/>
        <v/>
      </c>
      <c r="R161" s="274" t="str">
        <f t="shared" si="22"/>
        <v/>
      </c>
      <c r="S161" s="340" t="str">
        <f t="shared" si="30"/>
        <v/>
      </c>
      <c r="T161" s="275" t="str">
        <f t="shared" si="23"/>
        <v/>
      </c>
      <c r="U161" s="559" t="str">
        <f t="shared" si="24"/>
        <v/>
      </c>
      <c r="V161" s="560"/>
      <c r="W161" s="562"/>
    </row>
    <row r="162" spans="3:23" ht="15.95" customHeight="1">
      <c r="C162" s="263"/>
      <c r="D162" s="554"/>
      <c r="E162" s="555" t="s">
        <v>447</v>
      </c>
      <c r="F162" s="536"/>
      <c r="G162" s="271" t="str">
        <f t="shared" ref="G162" si="41">IF(D162="","",D162)</f>
        <v/>
      </c>
      <c r="H162" s="258" t="str">
        <f t="shared" si="25"/>
        <v/>
      </c>
      <c r="I162" s="272" t="str">
        <f t="shared" si="28"/>
        <v/>
      </c>
      <c r="J162" s="273"/>
      <c r="K162" s="563"/>
      <c r="L162" s="565" t="str">
        <f t="shared" ref="L162" si="42">IF(C162="","","D-13")</f>
        <v/>
      </c>
      <c r="M162" s="600"/>
      <c r="N162" s="601"/>
      <c r="O162" s="255" t="str">
        <f t="shared" si="26"/>
        <v/>
      </c>
      <c r="P162" s="258" t="str">
        <f t="shared" si="20"/>
        <v/>
      </c>
      <c r="Q162" s="274" t="str">
        <f t="shared" si="21"/>
        <v/>
      </c>
      <c r="R162" s="274" t="str">
        <f t="shared" si="22"/>
        <v/>
      </c>
      <c r="S162" s="340" t="str">
        <f t="shared" si="30"/>
        <v/>
      </c>
      <c r="T162" s="275" t="str">
        <f t="shared" si="23"/>
        <v/>
      </c>
      <c r="U162" s="559" t="str">
        <f t="shared" si="24"/>
        <v/>
      </c>
      <c r="V162" s="560"/>
      <c r="W162" s="561" t="str">
        <f>IF(C162="","",IF($I$91="布",IF(AND(K162&gt;=S162,K162&gt;=S163,$M$152&gt;=U162,$M$152&gt;=U163),"OK","NG"),IF($I$91="ベタ",IF(AND(K162&gt;=S162,K162&gt;=S163),"OK","NG"))))</f>
        <v/>
      </c>
    </row>
    <row r="163" spans="3:23" ht="15.95" customHeight="1">
      <c r="C163" s="336" t="str">
        <f>IF(C162="","",C162)</f>
        <v/>
      </c>
      <c r="D163" s="554"/>
      <c r="E163" s="555"/>
      <c r="F163" s="536"/>
      <c r="G163" s="271" t="str">
        <f t="shared" ref="G163" si="43">IF(F162="","",F162)</f>
        <v/>
      </c>
      <c r="H163" s="258" t="str">
        <f t="shared" si="25"/>
        <v/>
      </c>
      <c r="I163" s="272" t="str">
        <f t="shared" si="28"/>
        <v/>
      </c>
      <c r="J163" s="277" t="str">
        <f>IF(J162="","",J162)</f>
        <v/>
      </c>
      <c r="K163" s="564"/>
      <c r="L163" s="566"/>
      <c r="M163" s="600"/>
      <c r="N163" s="601"/>
      <c r="O163" s="255" t="str">
        <f t="shared" si="26"/>
        <v/>
      </c>
      <c r="P163" s="258" t="str">
        <f t="shared" si="20"/>
        <v/>
      </c>
      <c r="Q163" s="274" t="str">
        <f t="shared" si="21"/>
        <v/>
      </c>
      <c r="R163" s="274" t="str">
        <f t="shared" si="22"/>
        <v/>
      </c>
      <c r="S163" s="340" t="str">
        <f t="shared" si="30"/>
        <v/>
      </c>
      <c r="T163" s="275" t="str">
        <f t="shared" si="23"/>
        <v/>
      </c>
      <c r="U163" s="559" t="str">
        <f t="shared" si="24"/>
        <v/>
      </c>
      <c r="V163" s="560"/>
      <c r="W163" s="562"/>
    </row>
    <row r="164" spans="3:23" ht="15.95" customHeight="1">
      <c r="C164" s="263"/>
      <c r="D164" s="554"/>
      <c r="E164" s="555" t="s">
        <v>447</v>
      </c>
      <c r="F164" s="536"/>
      <c r="G164" s="271" t="str">
        <f t="shared" ref="G164" si="44">IF(D164="","",D164)</f>
        <v/>
      </c>
      <c r="H164" s="258" t="str">
        <f t="shared" si="25"/>
        <v/>
      </c>
      <c r="I164" s="272" t="str">
        <f t="shared" si="28"/>
        <v/>
      </c>
      <c r="J164" s="273"/>
      <c r="K164" s="563"/>
      <c r="L164" s="565" t="str">
        <f t="shared" ref="L164" si="45">IF(C164="","","D-13")</f>
        <v/>
      </c>
      <c r="M164" s="600"/>
      <c r="N164" s="601"/>
      <c r="O164" s="255" t="str">
        <f t="shared" si="26"/>
        <v/>
      </c>
      <c r="P164" s="258" t="str">
        <f t="shared" si="20"/>
        <v/>
      </c>
      <c r="Q164" s="274" t="str">
        <f t="shared" si="21"/>
        <v/>
      </c>
      <c r="R164" s="274" t="str">
        <f t="shared" si="22"/>
        <v/>
      </c>
      <c r="S164" s="340" t="str">
        <f t="shared" si="30"/>
        <v/>
      </c>
      <c r="T164" s="275" t="str">
        <f t="shared" si="23"/>
        <v/>
      </c>
      <c r="U164" s="559" t="str">
        <f t="shared" si="24"/>
        <v/>
      </c>
      <c r="V164" s="560"/>
      <c r="W164" s="561" t="str">
        <f>IF(C164="","",IF($I$91="布",IF(AND(K164&gt;=S164,K164&gt;=S165,$M$152&gt;=U164,$M$152&gt;=U165),"OK","NG"),IF($I$91="ベタ",IF(AND(K164&gt;=S164,K164&gt;=S165),"OK","NG"))))</f>
        <v/>
      </c>
    </row>
    <row r="165" spans="3:23" ht="15.95" customHeight="1">
      <c r="C165" s="336" t="str">
        <f>IF(C164="","",C164)</f>
        <v/>
      </c>
      <c r="D165" s="554"/>
      <c r="E165" s="555"/>
      <c r="F165" s="536"/>
      <c r="G165" s="271" t="str">
        <f t="shared" ref="G165" si="46">IF(F164="","",F164)</f>
        <v/>
      </c>
      <c r="H165" s="258" t="str">
        <f t="shared" si="25"/>
        <v/>
      </c>
      <c r="I165" s="272" t="str">
        <f t="shared" si="28"/>
        <v/>
      </c>
      <c r="J165" s="277" t="str">
        <f>IF(J164="","",J164)</f>
        <v/>
      </c>
      <c r="K165" s="564"/>
      <c r="L165" s="566"/>
      <c r="M165" s="600"/>
      <c r="N165" s="601"/>
      <c r="O165" s="255" t="str">
        <f t="shared" si="26"/>
        <v/>
      </c>
      <c r="P165" s="258" t="str">
        <f t="shared" si="20"/>
        <v/>
      </c>
      <c r="Q165" s="274" t="str">
        <f t="shared" si="21"/>
        <v/>
      </c>
      <c r="R165" s="274" t="str">
        <f t="shared" si="22"/>
        <v/>
      </c>
      <c r="S165" s="340" t="str">
        <f t="shared" si="30"/>
        <v/>
      </c>
      <c r="T165" s="275" t="str">
        <f t="shared" si="23"/>
        <v/>
      </c>
      <c r="U165" s="559" t="str">
        <f t="shared" si="24"/>
        <v/>
      </c>
      <c r="V165" s="560"/>
      <c r="W165" s="562"/>
    </row>
    <row r="166" spans="3:23" ht="15.95" customHeight="1">
      <c r="C166" s="263"/>
      <c r="D166" s="554"/>
      <c r="E166" s="555" t="s">
        <v>447</v>
      </c>
      <c r="F166" s="536"/>
      <c r="G166" s="271" t="str">
        <f t="shared" ref="G166" si="47">IF(D166="","",D166)</f>
        <v/>
      </c>
      <c r="H166" s="258" t="str">
        <f t="shared" si="25"/>
        <v/>
      </c>
      <c r="I166" s="272" t="str">
        <f t="shared" si="28"/>
        <v/>
      </c>
      <c r="J166" s="273"/>
      <c r="K166" s="563"/>
      <c r="L166" s="565" t="str">
        <f t="shared" ref="L166" si="48">IF(C166="","","D-13")</f>
        <v/>
      </c>
      <c r="M166" s="600"/>
      <c r="N166" s="601"/>
      <c r="O166" s="255" t="str">
        <f t="shared" si="26"/>
        <v/>
      </c>
      <c r="P166" s="258" t="str">
        <f t="shared" si="20"/>
        <v/>
      </c>
      <c r="Q166" s="274" t="str">
        <f t="shared" si="21"/>
        <v/>
      </c>
      <c r="R166" s="274" t="str">
        <f t="shared" si="22"/>
        <v/>
      </c>
      <c r="S166" s="340" t="str">
        <f t="shared" si="30"/>
        <v/>
      </c>
      <c r="T166" s="275" t="str">
        <f t="shared" si="23"/>
        <v/>
      </c>
      <c r="U166" s="559" t="str">
        <f t="shared" si="24"/>
        <v/>
      </c>
      <c r="V166" s="560"/>
      <c r="W166" s="561" t="str">
        <f>IF(C166="","",IF($I$91="布",IF(AND(K166&gt;=S166,K166&gt;=S167,$M$152&gt;=U166,$M$152&gt;=U167),"OK","NG"),IF($I$91="ベタ",IF(AND(K166&gt;=S166,K166&gt;=S167),"OK","NG"))))</f>
        <v/>
      </c>
    </row>
    <row r="167" spans="3:23" ht="15.95" customHeight="1">
      <c r="C167" s="336" t="str">
        <f>IF(C166="","",C166)</f>
        <v/>
      </c>
      <c r="D167" s="554"/>
      <c r="E167" s="555"/>
      <c r="F167" s="536"/>
      <c r="G167" s="271" t="str">
        <f t="shared" ref="G167" si="49">IF(F166="","",F166)</f>
        <v/>
      </c>
      <c r="H167" s="258" t="str">
        <f t="shared" si="25"/>
        <v/>
      </c>
      <c r="I167" s="272" t="str">
        <f t="shared" si="28"/>
        <v/>
      </c>
      <c r="J167" s="277" t="str">
        <f>IF(J166="","",J166)</f>
        <v/>
      </c>
      <c r="K167" s="564"/>
      <c r="L167" s="566"/>
      <c r="M167" s="600"/>
      <c r="N167" s="601"/>
      <c r="O167" s="255" t="str">
        <f t="shared" si="26"/>
        <v/>
      </c>
      <c r="P167" s="258" t="str">
        <f t="shared" si="20"/>
        <v/>
      </c>
      <c r="Q167" s="274" t="str">
        <f t="shared" si="21"/>
        <v/>
      </c>
      <c r="R167" s="274" t="str">
        <f t="shared" si="22"/>
        <v/>
      </c>
      <c r="S167" s="340" t="str">
        <f t="shared" si="30"/>
        <v/>
      </c>
      <c r="T167" s="275" t="str">
        <f t="shared" si="23"/>
        <v/>
      </c>
      <c r="U167" s="559" t="str">
        <f t="shared" si="24"/>
        <v/>
      </c>
      <c r="V167" s="560"/>
      <c r="W167" s="562"/>
    </row>
    <row r="168" spans="3:23" ht="15.95" customHeight="1">
      <c r="C168" s="263"/>
      <c r="D168" s="554"/>
      <c r="E168" s="555" t="s">
        <v>447</v>
      </c>
      <c r="F168" s="536"/>
      <c r="G168" s="271" t="str">
        <f t="shared" ref="G168" si="50">IF(D168="","",D168)</f>
        <v/>
      </c>
      <c r="H168" s="258" t="str">
        <f t="shared" si="25"/>
        <v/>
      </c>
      <c r="I168" s="272" t="str">
        <f t="shared" si="28"/>
        <v/>
      </c>
      <c r="J168" s="273"/>
      <c r="K168" s="563"/>
      <c r="L168" s="565" t="str">
        <f t="shared" ref="L168" si="51">IF(C168="","","D-13")</f>
        <v/>
      </c>
      <c r="M168" s="600"/>
      <c r="N168" s="601"/>
      <c r="O168" s="255" t="str">
        <f t="shared" si="26"/>
        <v/>
      </c>
      <c r="P168" s="258" t="str">
        <f t="shared" si="20"/>
        <v/>
      </c>
      <c r="Q168" s="274" t="str">
        <f t="shared" si="21"/>
        <v/>
      </c>
      <c r="R168" s="274" t="str">
        <f t="shared" si="22"/>
        <v/>
      </c>
      <c r="S168" s="340" t="str">
        <f t="shared" si="30"/>
        <v/>
      </c>
      <c r="T168" s="275" t="str">
        <f t="shared" si="23"/>
        <v/>
      </c>
      <c r="U168" s="559" t="str">
        <f t="shared" si="24"/>
        <v/>
      </c>
      <c r="V168" s="560"/>
      <c r="W168" s="561" t="str">
        <f>IF(C168="","",IF($I$91="布",IF(AND(K168&gt;=S168,K168&gt;=S169,$M$152&gt;=U168,$M$152&gt;=U169),"OK","NG"),IF($I$91="ベタ",IF(AND(K168&gt;=S168,K168&gt;=S169),"OK","NG"))))</f>
        <v/>
      </c>
    </row>
    <row r="169" spans="3:23" ht="15.95" customHeight="1">
      <c r="C169" s="336" t="str">
        <f>IF(C168="","",C168)</f>
        <v/>
      </c>
      <c r="D169" s="554"/>
      <c r="E169" s="555"/>
      <c r="F169" s="536"/>
      <c r="G169" s="271" t="str">
        <f t="shared" ref="G169" si="52">IF(F168="","",F168)</f>
        <v/>
      </c>
      <c r="H169" s="258" t="str">
        <f t="shared" si="25"/>
        <v/>
      </c>
      <c r="I169" s="272" t="str">
        <f t="shared" si="28"/>
        <v/>
      </c>
      <c r="J169" s="277" t="str">
        <f>IF(J168="","",J168)</f>
        <v/>
      </c>
      <c r="K169" s="564"/>
      <c r="L169" s="566"/>
      <c r="M169" s="600"/>
      <c r="N169" s="601"/>
      <c r="O169" s="255" t="str">
        <f t="shared" si="26"/>
        <v/>
      </c>
      <c r="P169" s="258" t="str">
        <f t="shared" si="20"/>
        <v/>
      </c>
      <c r="Q169" s="274" t="str">
        <f t="shared" si="21"/>
        <v/>
      </c>
      <c r="R169" s="274" t="str">
        <f t="shared" si="22"/>
        <v/>
      </c>
      <c r="S169" s="340" t="str">
        <f t="shared" si="30"/>
        <v/>
      </c>
      <c r="T169" s="275" t="str">
        <f t="shared" si="23"/>
        <v/>
      </c>
      <c r="U169" s="559" t="str">
        <f t="shared" si="24"/>
        <v/>
      </c>
      <c r="V169" s="560"/>
      <c r="W169" s="562"/>
    </row>
    <row r="170" spans="3:23" ht="15.95" customHeight="1">
      <c r="C170" s="263"/>
      <c r="D170" s="554"/>
      <c r="E170" s="555" t="s">
        <v>447</v>
      </c>
      <c r="F170" s="536"/>
      <c r="G170" s="271" t="str">
        <f t="shared" ref="G170" si="53">IF(D170="","",D170)</f>
        <v/>
      </c>
      <c r="H170" s="258" t="str">
        <f t="shared" si="25"/>
        <v/>
      </c>
      <c r="I170" s="272" t="str">
        <f t="shared" si="28"/>
        <v/>
      </c>
      <c r="J170" s="273"/>
      <c r="K170" s="563"/>
      <c r="L170" s="565" t="str">
        <f t="shared" ref="L170" si="54">IF(C170="","","D-13")</f>
        <v/>
      </c>
      <c r="M170" s="600"/>
      <c r="N170" s="601"/>
      <c r="O170" s="255" t="str">
        <f t="shared" si="26"/>
        <v/>
      </c>
      <c r="P170" s="258" t="str">
        <f t="shared" si="20"/>
        <v/>
      </c>
      <c r="Q170" s="274" t="str">
        <f t="shared" si="21"/>
        <v/>
      </c>
      <c r="R170" s="274" t="str">
        <f t="shared" si="22"/>
        <v/>
      </c>
      <c r="S170" s="340" t="str">
        <f t="shared" si="30"/>
        <v/>
      </c>
      <c r="T170" s="275" t="str">
        <f t="shared" si="23"/>
        <v/>
      </c>
      <c r="U170" s="559" t="str">
        <f t="shared" si="24"/>
        <v/>
      </c>
      <c r="V170" s="560"/>
      <c r="W170" s="561" t="str">
        <f>IF(C170="","",IF($I$91="布",IF(AND(K170&gt;=S170,K170&gt;=S171,$M$152&gt;=U170,$M$152&gt;=U171),"OK","NG"),IF($I$91="ベタ",IF(AND(K170&gt;=S170,K170&gt;=S171),"OK","NG"))))</f>
        <v/>
      </c>
    </row>
    <row r="171" spans="3:23" ht="15.95" customHeight="1">
      <c r="C171" s="336" t="str">
        <f>IF(C170="","",C170)</f>
        <v/>
      </c>
      <c r="D171" s="554"/>
      <c r="E171" s="555"/>
      <c r="F171" s="536"/>
      <c r="G171" s="271" t="str">
        <f t="shared" ref="G171" si="55">IF(F170="","",F170)</f>
        <v/>
      </c>
      <c r="H171" s="258" t="str">
        <f t="shared" si="25"/>
        <v/>
      </c>
      <c r="I171" s="272" t="str">
        <f t="shared" si="28"/>
        <v/>
      </c>
      <c r="J171" s="277" t="str">
        <f>IF(J170="","",J170)</f>
        <v/>
      </c>
      <c r="K171" s="564"/>
      <c r="L171" s="566"/>
      <c r="M171" s="600"/>
      <c r="N171" s="601"/>
      <c r="O171" s="255" t="str">
        <f t="shared" si="26"/>
        <v/>
      </c>
      <c r="P171" s="258" t="str">
        <f t="shared" si="20"/>
        <v/>
      </c>
      <c r="Q171" s="274" t="str">
        <f t="shared" si="21"/>
        <v/>
      </c>
      <c r="R171" s="274" t="str">
        <f t="shared" si="22"/>
        <v/>
      </c>
      <c r="S171" s="340" t="str">
        <f t="shared" si="30"/>
        <v/>
      </c>
      <c r="T171" s="275" t="str">
        <f t="shared" si="23"/>
        <v/>
      </c>
      <c r="U171" s="559" t="str">
        <f t="shared" si="24"/>
        <v/>
      </c>
      <c r="V171" s="560"/>
      <c r="W171" s="562"/>
    </row>
    <row r="172" spans="3:23" ht="15.95" customHeight="1">
      <c r="C172" s="263"/>
      <c r="D172" s="554"/>
      <c r="E172" s="555" t="s">
        <v>447</v>
      </c>
      <c r="F172" s="536"/>
      <c r="G172" s="271" t="str">
        <f t="shared" ref="G172" si="56">IF(D172="","",D172)</f>
        <v/>
      </c>
      <c r="H172" s="258" t="str">
        <f t="shared" si="25"/>
        <v/>
      </c>
      <c r="I172" s="272" t="str">
        <f t="shared" si="28"/>
        <v/>
      </c>
      <c r="J172" s="273"/>
      <c r="K172" s="563"/>
      <c r="L172" s="565" t="str">
        <f t="shared" ref="L172" si="57">IF(C172="","","D-13")</f>
        <v/>
      </c>
      <c r="M172" s="600"/>
      <c r="N172" s="601"/>
      <c r="O172" s="255" t="str">
        <f t="shared" si="26"/>
        <v/>
      </c>
      <c r="P172" s="258" t="str">
        <f t="shared" si="20"/>
        <v/>
      </c>
      <c r="Q172" s="274" t="str">
        <f t="shared" si="21"/>
        <v/>
      </c>
      <c r="R172" s="274" t="str">
        <f t="shared" si="22"/>
        <v/>
      </c>
      <c r="S172" s="340" t="str">
        <f t="shared" si="30"/>
        <v/>
      </c>
      <c r="T172" s="275" t="str">
        <f t="shared" si="23"/>
        <v/>
      </c>
      <c r="U172" s="559" t="str">
        <f t="shared" si="24"/>
        <v/>
      </c>
      <c r="V172" s="560"/>
      <c r="W172" s="561" t="str">
        <f>IF(C172="","",IF($I$91="布",IF(AND(K172&gt;=S172,K172&gt;=S173,$M$152&gt;=U172,$M$152&gt;=U173),"OK","NG"),IF($I$91="ベタ",IF(AND(K172&gt;=S172,K172&gt;=S173),"OK","NG"))))</f>
        <v/>
      </c>
    </row>
    <row r="173" spans="3:23" ht="15.95" customHeight="1">
      <c r="C173" s="336" t="str">
        <f>IF(C172="","",C172)</f>
        <v/>
      </c>
      <c r="D173" s="554"/>
      <c r="E173" s="555"/>
      <c r="F173" s="536"/>
      <c r="G173" s="271" t="str">
        <f t="shared" ref="G173" si="58">IF(F172="","",F172)</f>
        <v/>
      </c>
      <c r="H173" s="258" t="str">
        <f t="shared" si="25"/>
        <v/>
      </c>
      <c r="I173" s="272" t="str">
        <f t="shared" si="28"/>
        <v/>
      </c>
      <c r="J173" s="277" t="str">
        <f>IF(J172="","",J172)</f>
        <v/>
      </c>
      <c r="K173" s="564"/>
      <c r="L173" s="566"/>
      <c r="M173" s="600"/>
      <c r="N173" s="601"/>
      <c r="O173" s="255" t="str">
        <f t="shared" si="26"/>
        <v/>
      </c>
      <c r="P173" s="258" t="str">
        <f t="shared" si="20"/>
        <v/>
      </c>
      <c r="Q173" s="274" t="str">
        <f t="shared" si="21"/>
        <v/>
      </c>
      <c r="R173" s="274" t="str">
        <f t="shared" si="22"/>
        <v/>
      </c>
      <c r="S173" s="340" t="str">
        <f t="shared" si="30"/>
        <v/>
      </c>
      <c r="T173" s="275" t="str">
        <f t="shared" si="23"/>
        <v/>
      </c>
      <c r="U173" s="559" t="str">
        <f t="shared" si="24"/>
        <v/>
      </c>
      <c r="V173" s="560"/>
      <c r="W173" s="562"/>
    </row>
    <row r="174" spans="3:23" ht="15.95" customHeight="1">
      <c r="C174" s="263"/>
      <c r="D174" s="554"/>
      <c r="E174" s="555" t="s">
        <v>447</v>
      </c>
      <c r="F174" s="536"/>
      <c r="G174" s="271" t="str">
        <f t="shared" ref="G174" si="59">IF(D174="","",D174)</f>
        <v/>
      </c>
      <c r="H174" s="258" t="str">
        <f t="shared" si="25"/>
        <v/>
      </c>
      <c r="I174" s="272" t="str">
        <f t="shared" si="28"/>
        <v/>
      </c>
      <c r="J174" s="273"/>
      <c r="K174" s="563"/>
      <c r="L174" s="565" t="str">
        <f t="shared" ref="L174" si="60">IF(C174="","","D-13")</f>
        <v/>
      </c>
      <c r="M174" s="600"/>
      <c r="N174" s="601"/>
      <c r="O174" s="255" t="str">
        <f>IF(H174="","",IF(H174=150,"P102",IF(H174&gt;=130,"P101",IF(H174&gt;=110,"P100",IF(H174&gt;=90,"P99",IF(H174&gt;=70,"P98",IF(H174&gt;=50,"P97",IF(H174&gt;=30,"P96",IF(H174&gt;=10,"P95","")))))))))</f>
        <v/>
      </c>
      <c r="P174" s="258" t="str">
        <f t="shared" si="20"/>
        <v/>
      </c>
      <c r="Q174" s="274" t="str">
        <f t="shared" si="21"/>
        <v/>
      </c>
      <c r="R174" s="274" t="str">
        <f t="shared" si="22"/>
        <v/>
      </c>
      <c r="S174" s="340" t="str">
        <f t="shared" si="30"/>
        <v/>
      </c>
      <c r="T174" s="275" t="str">
        <f t="shared" si="23"/>
        <v/>
      </c>
      <c r="U174" s="559" t="str">
        <f t="shared" si="24"/>
        <v/>
      </c>
      <c r="V174" s="560"/>
      <c r="W174" s="561" t="str">
        <f>IF(C174="","",IF($I$91="布",IF(AND(K174&gt;=S174,K174&gt;=S175,$M$152&gt;=U174,$M$152&gt;=U175),"OK","NG"),IF($I$91="ベタ",IF(AND(K174&gt;=S174,K174&gt;=S175),"OK","NG"))))</f>
        <v/>
      </c>
    </row>
    <row r="175" spans="3:23" ht="15.95" customHeight="1">
      <c r="C175" s="336" t="str">
        <f>IF(C174="","",C174)</f>
        <v/>
      </c>
      <c r="D175" s="554"/>
      <c r="E175" s="555"/>
      <c r="F175" s="536"/>
      <c r="G175" s="271" t="str">
        <f t="shared" ref="G175" si="61">IF(F174="","",F174)</f>
        <v/>
      </c>
      <c r="H175" s="258" t="str">
        <f t="shared" si="25"/>
        <v/>
      </c>
      <c r="I175" s="272" t="str">
        <f t="shared" si="28"/>
        <v/>
      </c>
      <c r="J175" s="277" t="str">
        <f>IF(J174="","",J174)</f>
        <v/>
      </c>
      <c r="K175" s="564"/>
      <c r="L175" s="566"/>
      <c r="M175" s="600"/>
      <c r="N175" s="601"/>
      <c r="O175" s="255" t="str">
        <f t="shared" si="26"/>
        <v/>
      </c>
      <c r="P175" s="258" t="str">
        <f t="shared" si="20"/>
        <v/>
      </c>
      <c r="Q175" s="274" t="str">
        <f t="shared" si="21"/>
        <v/>
      </c>
      <c r="R175" s="274" t="str">
        <f t="shared" si="22"/>
        <v/>
      </c>
      <c r="S175" s="340" t="str">
        <f t="shared" si="30"/>
        <v/>
      </c>
      <c r="T175" s="275" t="str">
        <f t="shared" si="23"/>
        <v/>
      </c>
      <c r="U175" s="559" t="str">
        <f t="shared" si="24"/>
        <v/>
      </c>
      <c r="V175" s="560"/>
      <c r="W175" s="562"/>
    </row>
    <row r="176" spans="3:23" ht="15.95" customHeight="1">
      <c r="C176" s="263"/>
      <c r="D176" s="554"/>
      <c r="E176" s="555" t="s">
        <v>447</v>
      </c>
      <c r="F176" s="536"/>
      <c r="G176" s="271" t="str">
        <f t="shared" ref="G176" si="62">IF(D176="","",D176)</f>
        <v/>
      </c>
      <c r="H176" s="258" t="str">
        <f t="shared" si="25"/>
        <v/>
      </c>
      <c r="I176" s="272" t="str">
        <f t="shared" si="28"/>
        <v/>
      </c>
      <c r="J176" s="273"/>
      <c r="K176" s="563"/>
      <c r="L176" s="565" t="str">
        <f t="shared" ref="L176" si="63">IF(C176="","","D-13")</f>
        <v/>
      </c>
      <c r="M176" s="600"/>
      <c r="N176" s="601"/>
      <c r="O176" s="255" t="str">
        <f t="shared" si="26"/>
        <v/>
      </c>
      <c r="P176" s="258" t="str">
        <f t="shared" si="20"/>
        <v/>
      </c>
      <c r="Q176" s="274" t="str">
        <f t="shared" si="21"/>
        <v/>
      </c>
      <c r="R176" s="274" t="str">
        <f t="shared" si="22"/>
        <v/>
      </c>
      <c r="S176" s="340" t="str">
        <f t="shared" si="30"/>
        <v/>
      </c>
      <c r="T176" s="275" t="str">
        <f t="shared" si="23"/>
        <v/>
      </c>
      <c r="U176" s="559" t="str">
        <f t="shared" si="24"/>
        <v/>
      </c>
      <c r="V176" s="560"/>
      <c r="W176" s="561" t="str">
        <f>IF(C176="","",IF($I$91="布",IF(AND(K176&gt;=S176,K176&gt;=S177,$M$152&gt;=U176,$M$152&gt;=U177),"OK","NG"),IF($I$91="ベタ",IF(AND(K176&gt;=S176,K176&gt;=S177),"OK","NG"))))</f>
        <v/>
      </c>
    </row>
    <row r="177" spans="2:23" ht="15.95" customHeight="1">
      <c r="C177" s="336" t="str">
        <f>IF(C176="","",C176)</f>
        <v/>
      </c>
      <c r="D177" s="554"/>
      <c r="E177" s="555"/>
      <c r="F177" s="536"/>
      <c r="G177" s="271" t="str">
        <f t="shared" ref="G177" si="64">IF(F176="","",F176)</f>
        <v/>
      </c>
      <c r="H177" s="258" t="str">
        <f t="shared" si="25"/>
        <v/>
      </c>
      <c r="I177" s="272" t="str">
        <f t="shared" si="28"/>
        <v/>
      </c>
      <c r="J177" s="277" t="str">
        <f>IF(J176="","",J176)</f>
        <v/>
      </c>
      <c r="K177" s="564"/>
      <c r="L177" s="566"/>
      <c r="M177" s="600"/>
      <c r="N177" s="601"/>
      <c r="O177" s="255" t="str">
        <f t="shared" si="26"/>
        <v/>
      </c>
      <c r="P177" s="258" t="str">
        <f t="shared" si="20"/>
        <v/>
      </c>
      <c r="Q177" s="274" t="str">
        <f t="shared" si="21"/>
        <v/>
      </c>
      <c r="R177" s="274" t="str">
        <f t="shared" si="22"/>
        <v/>
      </c>
      <c r="S177" s="340" t="str">
        <f t="shared" si="30"/>
        <v/>
      </c>
      <c r="T177" s="275" t="str">
        <f t="shared" si="23"/>
        <v/>
      </c>
      <c r="U177" s="559" t="str">
        <f t="shared" si="24"/>
        <v/>
      </c>
      <c r="V177" s="560"/>
      <c r="W177" s="562"/>
    </row>
    <row r="178" spans="2:23" ht="15.95" customHeight="1">
      <c r="C178" s="263"/>
      <c r="D178" s="554"/>
      <c r="E178" s="555" t="s">
        <v>447</v>
      </c>
      <c r="F178" s="536"/>
      <c r="G178" s="271" t="str">
        <f t="shared" ref="G178" si="65">IF(D178="","",D178)</f>
        <v/>
      </c>
      <c r="H178" s="258" t="str">
        <f t="shared" si="25"/>
        <v/>
      </c>
      <c r="I178" s="272" t="str">
        <f t="shared" si="28"/>
        <v/>
      </c>
      <c r="J178" s="273"/>
      <c r="K178" s="563"/>
      <c r="L178" s="565" t="str">
        <f t="shared" ref="L178" si="66">IF(C178="","","D-13")</f>
        <v/>
      </c>
      <c r="M178" s="600"/>
      <c r="N178" s="601"/>
      <c r="O178" s="255" t="str">
        <f t="shared" si="26"/>
        <v/>
      </c>
      <c r="P178" s="258" t="str">
        <f t="shared" si="20"/>
        <v/>
      </c>
      <c r="Q178" s="274" t="str">
        <f t="shared" si="21"/>
        <v/>
      </c>
      <c r="R178" s="274" t="str">
        <f t="shared" si="22"/>
        <v/>
      </c>
      <c r="S178" s="340" t="str">
        <f t="shared" si="30"/>
        <v/>
      </c>
      <c r="T178" s="275" t="str">
        <f t="shared" si="23"/>
        <v/>
      </c>
      <c r="U178" s="559" t="str">
        <f t="shared" si="24"/>
        <v/>
      </c>
      <c r="V178" s="560"/>
      <c r="W178" s="561" t="str">
        <f>IF(C178="","",IF($I$91="布",IF(AND(K178&gt;=S178,K178&gt;=S179,$M$152&gt;=U178,$M$152&gt;=U179),"OK","NG"),IF($I$91="ベタ",IF(AND(K178&gt;=S178,K178&gt;=S179),"OK","NG"))))</f>
        <v/>
      </c>
    </row>
    <row r="179" spans="2:23" ht="15.95" customHeight="1">
      <c r="C179" s="336" t="str">
        <f>IF(C178="","",C178)</f>
        <v/>
      </c>
      <c r="D179" s="554"/>
      <c r="E179" s="555"/>
      <c r="F179" s="536"/>
      <c r="G179" s="271" t="str">
        <f t="shared" ref="G179" si="67">IF(F178="","",F178)</f>
        <v/>
      </c>
      <c r="H179" s="258" t="str">
        <f t="shared" si="25"/>
        <v/>
      </c>
      <c r="I179" s="272" t="str">
        <f t="shared" si="28"/>
        <v/>
      </c>
      <c r="J179" s="277" t="str">
        <f>IF(J178="","",J178)</f>
        <v/>
      </c>
      <c r="K179" s="564"/>
      <c r="L179" s="566"/>
      <c r="M179" s="600"/>
      <c r="N179" s="601"/>
      <c r="O179" s="255" t="str">
        <f t="shared" si="26"/>
        <v/>
      </c>
      <c r="P179" s="258" t="str">
        <f t="shared" si="20"/>
        <v/>
      </c>
      <c r="Q179" s="274" t="str">
        <f t="shared" si="21"/>
        <v/>
      </c>
      <c r="R179" s="274" t="str">
        <f t="shared" si="22"/>
        <v/>
      </c>
      <c r="S179" s="340" t="str">
        <f t="shared" si="30"/>
        <v/>
      </c>
      <c r="T179" s="275" t="str">
        <f t="shared" si="23"/>
        <v/>
      </c>
      <c r="U179" s="559" t="str">
        <f t="shared" si="24"/>
        <v/>
      </c>
      <c r="V179" s="560"/>
      <c r="W179" s="562"/>
    </row>
    <row r="180" spans="2:23" ht="15.95" customHeight="1">
      <c r="C180" s="263"/>
      <c r="D180" s="554"/>
      <c r="E180" s="555" t="s">
        <v>447</v>
      </c>
      <c r="F180" s="536"/>
      <c r="G180" s="271" t="str">
        <f t="shared" ref="G180" si="68">IF(D180="","",D180)</f>
        <v/>
      </c>
      <c r="H180" s="258" t="str">
        <f t="shared" si="25"/>
        <v/>
      </c>
      <c r="I180" s="272" t="str">
        <f t="shared" si="28"/>
        <v/>
      </c>
      <c r="J180" s="273"/>
      <c r="K180" s="563"/>
      <c r="L180" s="565" t="str">
        <f t="shared" ref="L180" si="69">IF(C180="","","D-13")</f>
        <v/>
      </c>
      <c r="M180" s="600"/>
      <c r="N180" s="601"/>
      <c r="O180" s="255" t="str">
        <f t="shared" si="26"/>
        <v/>
      </c>
      <c r="P180" s="258" t="str">
        <f t="shared" si="20"/>
        <v/>
      </c>
      <c r="Q180" s="274" t="str">
        <f t="shared" si="21"/>
        <v/>
      </c>
      <c r="R180" s="274" t="str">
        <f t="shared" si="22"/>
        <v/>
      </c>
      <c r="S180" s="340" t="str">
        <f t="shared" si="30"/>
        <v/>
      </c>
      <c r="T180" s="275" t="str">
        <f t="shared" si="23"/>
        <v/>
      </c>
      <c r="U180" s="559" t="str">
        <f t="shared" si="24"/>
        <v/>
      </c>
      <c r="V180" s="560"/>
      <c r="W180" s="561" t="str">
        <f>IF(C180="","",IF($I$91="布",IF(AND(K180&gt;=S180,K180&gt;=S181,$M$152&gt;=U180,$M$152&gt;=U181),"OK","NG"),IF($I$91="ベタ",IF(AND(K180&gt;=S180,K180&gt;=S181),"OK","NG"))))</f>
        <v/>
      </c>
    </row>
    <row r="181" spans="2:23" ht="15.95" customHeight="1">
      <c r="C181" s="336" t="str">
        <f>IF(C180="","",C180)</f>
        <v/>
      </c>
      <c r="D181" s="554"/>
      <c r="E181" s="555"/>
      <c r="F181" s="536"/>
      <c r="G181" s="271" t="str">
        <f t="shared" ref="G181" si="70">IF(F180="","",F180)</f>
        <v/>
      </c>
      <c r="H181" s="258" t="str">
        <f t="shared" si="25"/>
        <v/>
      </c>
      <c r="I181" s="272" t="str">
        <f t="shared" si="28"/>
        <v/>
      </c>
      <c r="J181" s="277" t="str">
        <f>IF(J180="","",J180)</f>
        <v/>
      </c>
      <c r="K181" s="564"/>
      <c r="L181" s="566"/>
      <c r="M181" s="600"/>
      <c r="N181" s="601"/>
      <c r="O181" s="255" t="str">
        <f t="shared" si="26"/>
        <v/>
      </c>
      <c r="P181" s="258" t="str">
        <f t="shared" si="20"/>
        <v/>
      </c>
      <c r="Q181" s="274" t="str">
        <f t="shared" si="21"/>
        <v/>
      </c>
      <c r="R181" s="274" t="str">
        <f t="shared" si="22"/>
        <v/>
      </c>
      <c r="S181" s="340" t="str">
        <f t="shared" si="30"/>
        <v/>
      </c>
      <c r="T181" s="275" t="str">
        <f t="shared" si="23"/>
        <v/>
      </c>
      <c r="U181" s="559" t="str">
        <f t="shared" si="24"/>
        <v/>
      </c>
      <c r="V181" s="560"/>
      <c r="W181" s="562"/>
    </row>
    <row r="182" spans="2:23" ht="15.95" customHeight="1">
      <c r="C182" s="263"/>
      <c r="D182" s="554"/>
      <c r="E182" s="555" t="s">
        <v>447</v>
      </c>
      <c r="F182" s="536"/>
      <c r="G182" s="271" t="str">
        <f t="shared" ref="G182" si="71">IF(D182="","",D182)</f>
        <v/>
      </c>
      <c r="H182" s="258" t="str">
        <f t="shared" si="25"/>
        <v/>
      </c>
      <c r="I182" s="272" t="str">
        <f t="shared" si="28"/>
        <v/>
      </c>
      <c r="J182" s="273"/>
      <c r="K182" s="563"/>
      <c r="L182" s="565" t="str">
        <f t="shared" ref="L182" si="72">IF(C182="","","D-13")</f>
        <v/>
      </c>
      <c r="M182" s="600"/>
      <c r="N182" s="601"/>
      <c r="O182" s="255" t="str">
        <f t="shared" si="26"/>
        <v/>
      </c>
      <c r="P182" s="258" t="str">
        <f t="shared" si="20"/>
        <v/>
      </c>
      <c r="Q182" s="274" t="str">
        <f t="shared" si="21"/>
        <v/>
      </c>
      <c r="R182" s="274" t="str">
        <f t="shared" si="22"/>
        <v/>
      </c>
      <c r="S182" s="340" t="str">
        <f t="shared" si="30"/>
        <v/>
      </c>
      <c r="T182" s="275" t="str">
        <f t="shared" si="23"/>
        <v/>
      </c>
      <c r="U182" s="559" t="str">
        <f t="shared" si="24"/>
        <v/>
      </c>
      <c r="V182" s="560"/>
      <c r="W182" s="561" t="str">
        <f>IF(C182="","",IF($I$91="布",IF(AND(K182&gt;=S182,K182&gt;=S183,$M$152&gt;=U182,$M$152&gt;=U183),"OK","NG"),IF($I$91="ベタ",IF(AND(K182&gt;=S182,K182&gt;=S183),"OK","NG"))))</f>
        <v/>
      </c>
    </row>
    <row r="183" spans="2:23" ht="15.95" customHeight="1">
      <c r="C183" s="336" t="str">
        <f>IF(C182="","",C182)</f>
        <v/>
      </c>
      <c r="D183" s="554"/>
      <c r="E183" s="555"/>
      <c r="F183" s="536"/>
      <c r="G183" s="271" t="str">
        <f t="shared" ref="G183" si="73">IF(F182="","",F182)</f>
        <v/>
      </c>
      <c r="H183" s="258" t="str">
        <f t="shared" si="25"/>
        <v/>
      </c>
      <c r="I183" s="272" t="str">
        <f t="shared" si="28"/>
        <v/>
      </c>
      <c r="J183" s="277" t="str">
        <f>IF(J182="","",J182)</f>
        <v/>
      </c>
      <c r="K183" s="564"/>
      <c r="L183" s="566"/>
      <c r="M183" s="600"/>
      <c r="N183" s="601"/>
      <c r="O183" s="255" t="str">
        <f t="shared" si="26"/>
        <v/>
      </c>
      <c r="P183" s="258" t="str">
        <f t="shared" si="20"/>
        <v/>
      </c>
      <c r="Q183" s="274" t="str">
        <f t="shared" si="21"/>
        <v/>
      </c>
      <c r="R183" s="274" t="str">
        <f t="shared" si="22"/>
        <v/>
      </c>
      <c r="S183" s="340" t="str">
        <f t="shared" si="30"/>
        <v/>
      </c>
      <c r="T183" s="275" t="str">
        <f t="shared" si="23"/>
        <v/>
      </c>
      <c r="U183" s="559" t="str">
        <f t="shared" si="24"/>
        <v/>
      </c>
      <c r="V183" s="560"/>
      <c r="W183" s="562"/>
    </row>
    <row r="184" spans="2:23" ht="15.95" customHeight="1">
      <c r="C184" s="263"/>
      <c r="D184" s="554"/>
      <c r="E184" s="555" t="s">
        <v>447</v>
      </c>
      <c r="F184" s="536"/>
      <c r="G184" s="271" t="str">
        <f t="shared" ref="G184" si="74">IF(D184="","",D184)</f>
        <v/>
      </c>
      <c r="H184" s="258" t="str">
        <f t="shared" si="25"/>
        <v/>
      </c>
      <c r="I184" s="272" t="str">
        <f t="shared" si="28"/>
        <v/>
      </c>
      <c r="J184" s="273"/>
      <c r="K184" s="563"/>
      <c r="L184" s="565" t="str">
        <f t="shared" ref="L184" si="75">IF(C184="","","D-13")</f>
        <v/>
      </c>
      <c r="M184" s="600"/>
      <c r="N184" s="601"/>
      <c r="O184" s="255" t="str">
        <f t="shared" si="26"/>
        <v/>
      </c>
      <c r="P184" s="258" t="str">
        <f t="shared" si="20"/>
        <v/>
      </c>
      <c r="Q184" s="274" t="str">
        <f t="shared" si="21"/>
        <v/>
      </c>
      <c r="R184" s="274" t="str">
        <f t="shared" si="22"/>
        <v/>
      </c>
      <c r="S184" s="340" t="str">
        <f t="shared" si="30"/>
        <v/>
      </c>
      <c r="T184" s="275" t="str">
        <f t="shared" si="23"/>
        <v/>
      </c>
      <c r="U184" s="559" t="str">
        <f t="shared" si="24"/>
        <v/>
      </c>
      <c r="V184" s="560"/>
      <c r="W184" s="561" t="str">
        <f>IF(C184="","",IF($I$91="布",IF(AND(K184&gt;=S184,K184&gt;=S185,$M$152&gt;=U184,$M$152&gt;=U185),"OK","NG"),IF($I$91="ベタ",IF(AND(K184&gt;=S184,K184&gt;=S185),"OK","NG"))))</f>
        <v/>
      </c>
    </row>
    <row r="185" spans="2:23" ht="15.95" customHeight="1">
      <c r="C185" s="336" t="str">
        <f>IF(C184="","",C184)</f>
        <v/>
      </c>
      <c r="D185" s="554"/>
      <c r="E185" s="555"/>
      <c r="F185" s="536"/>
      <c r="G185" s="271" t="str">
        <f t="shared" ref="G185" si="76">IF(F184="","",F184)</f>
        <v/>
      </c>
      <c r="H185" s="258" t="str">
        <f t="shared" si="25"/>
        <v/>
      </c>
      <c r="I185" s="272" t="str">
        <f t="shared" si="28"/>
        <v/>
      </c>
      <c r="J185" s="277" t="str">
        <f>IF(J184="","",J184)</f>
        <v/>
      </c>
      <c r="K185" s="564"/>
      <c r="L185" s="566"/>
      <c r="M185" s="600"/>
      <c r="N185" s="601"/>
      <c r="O185" s="255" t="str">
        <f t="shared" si="26"/>
        <v/>
      </c>
      <c r="P185" s="258" t="str">
        <f t="shared" si="20"/>
        <v/>
      </c>
      <c r="Q185" s="274" t="str">
        <f t="shared" si="21"/>
        <v/>
      </c>
      <c r="R185" s="274" t="str">
        <f t="shared" si="22"/>
        <v/>
      </c>
      <c r="S185" s="340" t="str">
        <f t="shared" si="30"/>
        <v/>
      </c>
      <c r="T185" s="275" t="str">
        <f t="shared" si="23"/>
        <v/>
      </c>
      <c r="U185" s="559" t="str">
        <f t="shared" si="24"/>
        <v/>
      </c>
      <c r="V185" s="560"/>
      <c r="W185" s="562"/>
    </row>
    <row r="186" spans="2:23" ht="15.95" customHeight="1">
      <c r="C186" s="263"/>
      <c r="D186" s="554"/>
      <c r="E186" s="555" t="s">
        <v>447</v>
      </c>
      <c r="F186" s="536"/>
      <c r="G186" s="271" t="str">
        <f t="shared" ref="G186" si="77">IF(D186="","",D186)</f>
        <v/>
      </c>
      <c r="H186" s="258" t="str">
        <f t="shared" si="25"/>
        <v/>
      </c>
      <c r="I186" s="272" t="str">
        <f t="shared" si="28"/>
        <v/>
      </c>
      <c r="J186" s="273"/>
      <c r="K186" s="563"/>
      <c r="L186" s="565" t="str">
        <f t="shared" ref="L186" si="78">IF(C186="","","D-13")</f>
        <v/>
      </c>
      <c r="M186" s="600"/>
      <c r="N186" s="601"/>
      <c r="O186" s="255" t="str">
        <f t="shared" si="26"/>
        <v/>
      </c>
      <c r="P186" s="258" t="str">
        <f t="shared" si="20"/>
        <v/>
      </c>
      <c r="Q186" s="274" t="str">
        <f t="shared" si="21"/>
        <v/>
      </c>
      <c r="R186" s="274" t="str">
        <f t="shared" si="22"/>
        <v/>
      </c>
      <c r="S186" s="340" t="str">
        <f t="shared" si="30"/>
        <v/>
      </c>
      <c r="T186" s="275" t="str">
        <f t="shared" si="23"/>
        <v/>
      </c>
      <c r="U186" s="559" t="str">
        <f t="shared" si="24"/>
        <v/>
      </c>
      <c r="V186" s="560"/>
      <c r="W186" s="561" t="str">
        <f>IF(C186="","",IF($I$91="布",IF(AND(K186&gt;=S186,K186&gt;=S187,$M$152&gt;=U186,$M$152&gt;=U187),"OK","NG"),IF($I$91="ベタ",IF(AND(K186&gt;=S186,K186&gt;=S187),"OK","NG"))))</f>
        <v/>
      </c>
    </row>
    <row r="187" spans="2:23" ht="15.95" customHeight="1">
      <c r="C187" s="336" t="str">
        <f>IF(C186="","",C186)</f>
        <v/>
      </c>
      <c r="D187" s="554"/>
      <c r="E187" s="555"/>
      <c r="F187" s="536"/>
      <c r="G187" s="271" t="str">
        <f t="shared" ref="G187" si="79">IF(F186="","",F186)</f>
        <v/>
      </c>
      <c r="H187" s="258" t="str">
        <f t="shared" si="25"/>
        <v/>
      </c>
      <c r="I187" s="272" t="str">
        <f t="shared" si="28"/>
        <v/>
      </c>
      <c r="J187" s="277" t="str">
        <f>IF(J186="","",J186)</f>
        <v/>
      </c>
      <c r="K187" s="564"/>
      <c r="L187" s="566"/>
      <c r="M187" s="600"/>
      <c r="N187" s="601"/>
      <c r="O187" s="255" t="str">
        <f t="shared" si="26"/>
        <v/>
      </c>
      <c r="P187" s="258" t="str">
        <f t="shared" si="20"/>
        <v/>
      </c>
      <c r="Q187" s="274" t="str">
        <f t="shared" si="21"/>
        <v/>
      </c>
      <c r="R187" s="274" t="str">
        <f t="shared" si="22"/>
        <v/>
      </c>
      <c r="S187" s="340" t="str">
        <f t="shared" si="30"/>
        <v/>
      </c>
      <c r="T187" s="275" t="str">
        <f t="shared" si="23"/>
        <v/>
      </c>
      <c r="U187" s="559" t="str">
        <f t="shared" si="24"/>
        <v/>
      </c>
      <c r="V187" s="560"/>
      <c r="W187" s="562"/>
    </row>
    <row r="188" spans="2:23" ht="15.95" customHeight="1">
      <c r="C188" s="263"/>
      <c r="D188" s="554"/>
      <c r="E188" s="555" t="s">
        <v>447</v>
      </c>
      <c r="F188" s="536"/>
      <c r="G188" s="271" t="str">
        <f t="shared" ref="G188" si="80">IF(D188="","",D188)</f>
        <v/>
      </c>
      <c r="H188" s="258" t="str">
        <f t="shared" si="25"/>
        <v/>
      </c>
      <c r="I188" s="272" t="str">
        <f t="shared" si="28"/>
        <v/>
      </c>
      <c r="J188" s="273"/>
      <c r="K188" s="563"/>
      <c r="L188" s="565" t="str">
        <f t="shared" ref="L188" si="81">IF(C188="","","D-13")</f>
        <v/>
      </c>
      <c r="M188" s="600"/>
      <c r="N188" s="601"/>
      <c r="O188" s="255" t="str">
        <f t="shared" si="26"/>
        <v/>
      </c>
      <c r="P188" s="258" t="str">
        <f t="shared" si="20"/>
        <v/>
      </c>
      <c r="Q188" s="274" t="str">
        <f t="shared" si="21"/>
        <v/>
      </c>
      <c r="R188" s="274" t="str">
        <f t="shared" si="22"/>
        <v/>
      </c>
      <c r="S188" s="340" t="str">
        <f t="shared" si="30"/>
        <v/>
      </c>
      <c r="T188" s="275" t="str">
        <f t="shared" si="23"/>
        <v/>
      </c>
      <c r="U188" s="559" t="str">
        <f t="shared" si="24"/>
        <v/>
      </c>
      <c r="V188" s="560"/>
      <c r="W188" s="561" t="str">
        <f>IF(C188="","",IF($I$91="布",IF(AND(K188&gt;=S188,K188&gt;=S189,$M$152&gt;=U188,$M$152&gt;=U189),"OK","NG"),IF($I$91="ベタ",IF(AND(K188&gt;=S188,K188&gt;=S189),"OK","NG"))))</f>
        <v/>
      </c>
    </row>
    <row r="189" spans="2:23" ht="15.95" customHeight="1">
      <c r="C189" s="336" t="str">
        <f>IF(C188="","",C188)</f>
        <v/>
      </c>
      <c r="D189" s="554"/>
      <c r="E189" s="555"/>
      <c r="F189" s="536"/>
      <c r="G189" s="271" t="str">
        <f t="shared" ref="G189" si="82">IF(F188="","",F188)</f>
        <v/>
      </c>
      <c r="H189" s="258" t="str">
        <f t="shared" si="25"/>
        <v/>
      </c>
      <c r="I189" s="272" t="str">
        <f t="shared" si="28"/>
        <v/>
      </c>
      <c r="J189" s="277" t="str">
        <f>IF(J188="","",J188)</f>
        <v/>
      </c>
      <c r="K189" s="564"/>
      <c r="L189" s="566"/>
      <c r="M189" s="602"/>
      <c r="N189" s="603"/>
      <c r="O189" s="255" t="str">
        <f t="shared" si="26"/>
        <v/>
      </c>
      <c r="P189" s="258" t="str">
        <f t="shared" si="20"/>
        <v/>
      </c>
      <c r="Q189" s="274" t="str">
        <f t="shared" si="21"/>
        <v/>
      </c>
      <c r="R189" s="274" t="str">
        <f t="shared" si="22"/>
        <v/>
      </c>
      <c r="S189" s="340" t="str">
        <f t="shared" si="30"/>
        <v/>
      </c>
      <c r="T189" s="275" t="str">
        <f t="shared" si="23"/>
        <v/>
      </c>
      <c r="U189" s="559" t="str">
        <f t="shared" si="24"/>
        <v/>
      </c>
      <c r="V189" s="560"/>
      <c r="W189" s="562"/>
    </row>
    <row r="190" spans="2:23" ht="15.95" customHeight="1">
      <c r="B190"/>
      <c r="C190"/>
      <c r="D190"/>
      <c r="E190"/>
      <c r="F190"/>
      <c r="G190"/>
      <c r="H190"/>
      <c r="I190"/>
      <c r="J190"/>
      <c r="K190"/>
      <c r="L190"/>
      <c r="M190" s="182"/>
      <c r="N190" s="182"/>
      <c r="O190"/>
      <c r="P190"/>
      <c r="Q190"/>
      <c r="R190"/>
      <c r="S190"/>
      <c r="T190" s="182"/>
      <c r="U190" s="182"/>
      <c r="V190"/>
      <c r="W190"/>
    </row>
    <row r="191" spans="2:23" ht="15.95" customHeight="1">
      <c r="B191"/>
      <c r="C191" s="567" t="s">
        <v>588</v>
      </c>
      <c r="D191" s="567"/>
      <c r="E191" s="567"/>
      <c r="F191" s="567"/>
      <c r="G191" s="567"/>
      <c r="T191" s="281"/>
      <c r="U191" s="281"/>
      <c r="W191"/>
    </row>
    <row r="192" spans="2:23" ht="15.95" customHeight="1">
      <c r="B192"/>
      <c r="C192" s="293"/>
      <c r="D192" s="294"/>
      <c r="E192" s="294"/>
      <c r="F192" s="294"/>
      <c r="G192" s="542" t="s">
        <v>462</v>
      </c>
      <c r="H192" s="542"/>
      <c r="I192" s="542"/>
      <c r="J192" s="543"/>
      <c r="K192" s="552" t="s">
        <v>398</v>
      </c>
      <c r="L192" s="552"/>
      <c r="M192" s="552" t="s">
        <v>399</v>
      </c>
      <c r="N192" s="552"/>
      <c r="O192" s="551" t="s">
        <v>521</v>
      </c>
      <c r="P192" s="551"/>
      <c r="Q192" s="551"/>
      <c r="R192" s="551"/>
      <c r="S192" s="552" t="s">
        <v>400</v>
      </c>
      <c r="T192" s="552"/>
      <c r="U192" s="552" t="str">
        <f>IF($I$91="布","必要接地圧","")</f>
        <v/>
      </c>
      <c r="V192" s="552"/>
      <c r="W192" s="574" t="str">
        <f>IF($I$91="布","配筋
接地圧
適否",IF($I$91="ベタ","配筋
適否",IF($I$91="独立","","")))</f>
        <v/>
      </c>
    </row>
    <row r="193" spans="2:23" ht="15.95" customHeight="1">
      <c r="B193"/>
      <c r="C193" s="552" t="s">
        <v>460</v>
      </c>
      <c r="D193" s="568" t="s">
        <v>459</v>
      </c>
      <c r="E193" s="569"/>
      <c r="F193" s="570"/>
      <c r="G193" s="568" t="s">
        <v>401</v>
      </c>
      <c r="H193" s="570"/>
      <c r="I193" s="282" t="s">
        <v>402</v>
      </c>
      <c r="J193" s="288" t="s">
        <v>403</v>
      </c>
      <c r="K193" s="553"/>
      <c r="L193" s="553"/>
      <c r="M193" s="553"/>
      <c r="N193" s="553"/>
      <c r="O193" s="551" t="str">
        <f>IF(I91="独立","","該当P")</f>
        <v>該当P</v>
      </c>
      <c r="P193" s="297" t="s">
        <v>401</v>
      </c>
      <c r="Q193" s="297" t="s">
        <v>402</v>
      </c>
      <c r="R193" s="297" t="s">
        <v>403</v>
      </c>
      <c r="S193" s="553"/>
      <c r="T193" s="553"/>
      <c r="U193" s="553"/>
      <c r="V193" s="553"/>
      <c r="W193" s="575"/>
    </row>
    <row r="194" spans="2:23" ht="15.95" customHeight="1">
      <c r="B194"/>
      <c r="C194" s="558"/>
      <c r="D194" s="549"/>
      <c r="E194" s="571"/>
      <c r="F194" s="550"/>
      <c r="G194" s="549" t="s">
        <v>396</v>
      </c>
      <c r="H194" s="550"/>
      <c r="I194" s="282" t="s">
        <v>394</v>
      </c>
      <c r="J194" s="290" t="s">
        <v>394</v>
      </c>
      <c r="K194" s="558"/>
      <c r="L194" s="558"/>
      <c r="M194" s="558" t="s">
        <v>404</v>
      </c>
      <c r="N194" s="558"/>
      <c r="O194" s="551"/>
      <c r="P194" s="298" t="s">
        <v>396</v>
      </c>
      <c r="Q194" s="298" t="s">
        <v>394</v>
      </c>
      <c r="R194" s="298" t="s">
        <v>394</v>
      </c>
      <c r="S194" s="558"/>
      <c r="T194" s="558"/>
      <c r="U194" s="558"/>
      <c r="V194" s="558"/>
      <c r="W194" s="576"/>
    </row>
    <row r="195" spans="2:23" ht="15.95" customHeight="1">
      <c r="C195" s="263"/>
      <c r="D195" s="554"/>
      <c r="E195" s="555" t="s">
        <v>447</v>
      </c>
      <c r="F195" s="536"/>
      <c r="G195" s="271" t="str">
        <f>IF(D195="","",D195)</f>
        <v/>
      </c>
      <c r="H195" s="258" t="str">
        <f>IF(C195="","",VLOOKUP(G195&amp;C195,$A$98:$W$143,22,FALSE))</f>
        <v/>
      </c>
      <c r="I195" s="272" t="str">
        <f>IF(C195="","",VLOOKUP(G195&amp;C195,$A$98:$S$143,18,FALSE))</f>
        <v/>
      </c>
      <c r="J195" s="273"/>
      <c r="K195" s="563"/>
      <c r="L195" s="565" t="str">
        <f>IF(C195="","","D-13")</f>
        <v/>
      </c>
      <c r="M195" s="598"/>
      <c r="N195" s="599"/>
      <c r="O195" s="255" t="str">
        <f>IF(H195="","",IF(H195=150,"P102",IF(H195&gt;=130,"P101",IF(H195&gt;=110,"P100",IF(H195&gt;=90,"P99",IF(H195&gt;=70,"P98",IF(H195&gt;=50,"P97",IF(H195&gt;=30,"P96",IF(H195&gt;=10,"P95","")))))))))</f>
        <v/>
      </c>
      <c r="P195" s="258" t="str">
        <f t="shared" ref="P195:P228" si="83">IF(C195="","",IF(H195&lt;=10,10,IF(H195&lt;=20,20,IF(H195&lt;=30,30,IF(H195&lt;=40,40,IF(H195&lt;=50,50,IF(H195&lt;=60,60,IF(H195&lt;=70,70,IF(H195&lt;=80,80,IF(H195&lt;=90,90,IF(H195&lt;=100,100,IF(H195&lt;=110,110,IF(H195&lt;=120,120,IF(H195&lt;=130,130,IF(H195&lt;=140,140,IF(H195&lt;=150,150,"NG"))))))))))))))))</f>
        <v/>
      </c>
      <c r="Q195" s="270" t="str">
        <f t="shared" ref="Q195:Q228" si="84">IF(C195="","",IF(I195&lt;=0.985,0.985,IF(I195&lt;=1.97,1.97,IF(I195&lt;=2.955,2.955,IF(I195&lt;=3.94,3.94,IF(I195&lt;=4.925,4.925,IF(I195&lt;=5.91,5.91,IF(I195&lt;=6.895,6.895,IF(I195&lt;=7.88,7.88,IF(I195&lt;=8.865,8.865,IF(I195&lt;=9.85,9.85,IF(I195&lt;=10.835,10.835,IF(I195&lt;=11.82,11.82,IF(I195&lt;=12.805,12.805,IF(I195&lt;=13.79,13.79,IF(I195&lt;=14.775,14.775,IF(I195&lt;=15.76,15.76,"NG")))))))))))))))))</f>
        <v/>
      </c>
      <c r="R195" s="270" t="str">
        <f>IF(C195="","",IF(J195&lt;=0.985,0.985,IF(J195&lt;=1.97,1.97,IF(J195&lt;=2.955,2.955,IF(J195&lt;=3.4475,3.4475,IF(J195&lt;=3.94,3.94,IF(J195&lt;=4.925,4.925,IF(J195&lt;=5.91,5.91,IF(J195&lt;=6.895,6.895,IF(J195&lt;=7.88,7.88,IF(J195&lt;=8.865,8.865,IF(J195&lt;=9.85,9.85,IF(J195&lt;=10.835,10.835,IF(J195&lt;=11.82,11.82,IF(J195&lt;=12.805,12.805,IF(J195&lt;=13.79,13.79,IF(J195&lt;=14.775,14.775,IF(I195&lt;=15.76,15.76,"NG"))))))))))))))))))</f>
        <v/>
      </c>
      <c r="S195" s="340" t="str">
        <f>IF(C195="","",IF(((1/8-0.35*1/12)*(H195/(I195/2))*J195^2)/$Z$147/$Z$148*10^6&lt;=127,1,IF(((1/8-0.35*1/12)*(H195/(I195/2))*J195^2)/$Z$147/$Z$148*10^6&lt;=254,2,IF(((1/8-0.35*1/12)*(H195/(I195/2))*J195^2)/$Z$147/$Z$148*10^6&lt;=381,3,IF(((1/8-0.35*1/12)*(H195/(I195/2))*J195^2)/$Z$147/$Z$148*10^6&lt;=508,4,"NG")))))</f>
        <v/>
      </c>
      <c r="T195" s="275" t="str">
        <f t="shared" ref="T195:T228" si="85">IF(C195="","","D-13")</f>
        <v/>
      </c>
      <c r="U195" s="559" t="str">
        <f t="shared" ref="U195:U228" si="86">IF($I$91="布",IF(C195="","",H195/(I195/2*$Z$150/1000)+2.4*9.8*$Z$151/1000),"")</f>
        <v/>
      </c>
      <c r="V195" s="560"/>
      <c r="W195" s="561" t="str">
        <f>IF(C195="","",IF($I$91="布",IF(AND(K195&gt;=S195,K195&gt;=S196,$M$152&gt;=U195,$M$152&gt;=U196),"OK","NG"),IF($I$91="ベタ",IF(AND(K195&gt;=S195,K195&gt;=S196),"OK","NG"))))</f>
        <v/>
      </c>
    </row>
    <row r="196" spans="2:23" ht="15.95" customHeight="1">
      <c r="C196" s="336" t="str">
        <f>IF(C195="","",C195)</f>
        <v/>
      </c>
      <c r="D196" s="554"/>
      <c r="E196" s="555"/>
      <c r="F196" s="536"/>
      <c r="G196" s="271" t="str">
        <f>IF(F195="","",F195)</f>
        <v/>
      </c>
      <c r="H196" s="258" t="str">
        <f t="shared" ref="H196:H228" si="87">IF(C196="","",VLOOKUP(G196&amp;C196,$A$98:$W$143,22,FALSE))</f>
        <v/>
      </c>
      <c r="I196" s="272" t="str">
        <f>IF(C196="","",VLOOKUP(G196&amp;C196,$A$98:$S$143,18,FALSE))</f>
        <v/>
      </c>
      <c r="J196" s="277" t="str">
        <f>IF(J195="","",J195)</f>
        <v/>
      </c>
      <c r="K196" s="564"/>
      <c r="L196" s="566"/>
      <c r="M196" s="600"/>
      <c r="N196" s="601"/>
      <c r="O196" s="255" t="str">
        <f t="shared" ref="O196:O228" si="88">IF(H196="","",IF(H196=150,"P102",IF(H196&gt;=130,"P101",IF(H196&gt;=110,"P100",IF(H196&gt;=90,"P99",IF(H196&gt;=70,"P98",IF(H196&gt;=50,"P97",IF(H196&gt;=30,"P96",IF(H196&gt;=10,"P95","")))))))))</f>
        <v/>
      </c>
      <c r="P196" s="258" t="str">
        <f t="shared" si="83"/>
        <v/>
      </c>
      <c r="Q196" s="270" t="str">
        <f t="shared" si="84"/>
        <v/>
      </c>
      <c r="R196" s="270" t="str">
        <f t="shared" ref="R196:R228" si="89">IF(C196="","",IF(J196&lt;=0.985,0.985,IF(J196&lt;=1.97,1.97,IF(J196&lt;=2.955,2.955,IF(J196&lt;=3.4475,3.4475,IF(J196&lt;=3.94,3.94,IF(J196&lt;=4.925,4.925,IF(J196&lt;=5.91,5.91,IF(J196&lt;=6.895,6.895,IF(J196&lt;=7.88,7.88,IF(J196&lt;=8.865,8.865,IF(J196&lt;=9.85,9.85,IF(J196&lt;=10.835,10.835,IF(J196&lt;=11.82,11.82,IF(J196&lt;=12.805,12.805,IF(J196&lt;=13.79,13.79,IF(J196&lt;=14.775,14.775,IF(I196&lt;=15.76,15.76,"NG"))))))))))))))))))</f>
        <v/>
      </c>
      <c r="S196" s="340" t="str">
        <f>IF(C196="","",IF(((1/8-0.35*1/12)*(H196/(I196/2))*J196^2)/$Z$147/$Z$148*10^6&lt;=127,1,IF(((1/8-0.35*1/12)*(H196/(I196/2))*J196^2)/$Z$147/$Z$148*10^6&lt;=254,2,IF(((1/8-0.35*1/12)*(H196/(I196/2))*J196^2)/$Z$147/$Z$148*10^6&lt;=381,3,IF(((1/8-0.35*1/12)*(H196/(I196/2))*J196^2)/$Z$147/$Z$148*10^6&lt;=508,4,"NG")))))</f>
        <v/>
      </c>
      <c r="T196" s="275" t="str">
        <f t="shared" si="85"/>
        <v/>
      </c>
      <c r="U196" s="559" t="str">
        <f t="shared" si="86"/>
        <v/>
      </c>
      <c r="V196" s="560"/>
      <c r="W196" s="562"/>
    </row>
    <row r="197" spans="2:23" ht="15.95" customHeight="1">
      <c r="C197" s="263"/>
      <c r="D197" s="554"/>
      <c r="E197" s="555" t="s">
        <v>447</v>
      </c>
      <c r="F197" s="536"/>
      <c r="G197" s="271" t="str">
        <f t="shared" ref="G197" si="90">IF(D197="","",D197)</f>
        <v/>
      </c>
      <c r="H197" s="258" t="str">
        <f t="shared" si="87"/>
        <v/>
      </c>
      <c r="I197" s="272" t="str">
        <f t="shared" ref="I197:I228" si="91">IF(C197="","",VLOOKUP(G197&amp;C197,$A$98:$S$143,18,FALSE))</f>
        <v/>
      </c>
      <c r="J197" s="273"/>
      <c r="K197" s="563"/>
      <c r="L197" s="565" t="str">
        <f t="shared" ref="L197" si="92">IF(C197="","","D-13")</f>
        <v/>
      </c>
      <c r="M197" s="600"/>
      <c r="N197" s="601"/>
      <c r="O197" s="255" t="str">
        <f t="shared" si="88"/>
        <v/>
      </c>
      <c r="P197" s="258" t="str">
        <f t="shared" si="83"/>
        <v/>
      </c>
      <c r="Q197" s="270" t="str">
        <f t="shared" si="84"/>
        <v/>
      </c>
      <c r="R197" s="270" t="str">
        <f t="shared" si="89"/>
        <v/>
      </c>
      <c r="S197" s="340" t="str">
        <f t="shared" ref="S197:S228" si="93">IF(C197="","",IF(((1/8-0.35*1/12)*(H197/(I197/2))*J197^2)/$Z$147/$Z$148*10^6&lt;=127,1,IF(((1/8-0.35*1/12)*(H197/(I197/2))*J197^2)/$Z$147/$Z$148*10^6&lt;=254,2,IF(((1/8-0.35*1/12)*(H197/(I197/2))*J197^2)/$Z$147/$Z$148*10^6&lt;=381,3,IF(((1/8-0.35*1/12)*(H197/(I197/2))*J197^2)/$Z$147/$Z$148*10^6&lt;=508,4,"NG")))))</f>
        <v/>
      </c>
      <c r="T197" s="275" t="str">
        <f t="shared" si="85"/>
        <v/>
      </c>
      <c r="U197" s="559" t="str">
        <f t="shared" si="86"/>
        <v/>
      </c>
      <c r="V197" s="560"/>
      <c r="W197" s="561" t="str">
        <f>IF(C197="","",IF($I$91="布",IF(AND(K197&gt;=S197,K197&gt;=S198,$M$152&gt;=U197,$M$152&gt;=U198),"OK","NG"),IF($I$91="ベタ",IF(AND(K197&gt;=S197,K197&gt;=S198),"OK","NG"))))</f>
        <v/>
      </c>
    </row>
    <row r="198" spans="2:23" ht="15.95" customHeight="1">
      <c r="C198" s="336" t="str">
        <f>IF(C197="","",C197)</f>
        <v/>
      </c>
      <c r="D198" s="554"/>
      <c r="E198" s="555"/>
      <c r="F198" s="536"/>
      <c r="G198" s="271" t="str">
        <f t="shared" ref="G198" si="94">IF(F197="","",F197)</f>
        <v/>
      </c>
      <c r="H198" s="258" t="str">
        <f t="shared" si="87"/>
        <v/>
      </c>
      <c r="I198" s="272" t="str">
        <f t="shared" si="91"/>
        <v/>
      </c>
      <c r="J198" s="277" t="str">
        <f>IF(J197="","",J197)</f>
        <v/>
      </c>
      <c r="K198" s="564"/>
      <c r="L198" s="566"/>
      <c r="M198" s="600"/>
      <c r="N198" s="601"/>
      <c r="O198" s="255" t="str">
        <f t="shared" si="88"/>
        <v/>
      </c>
      <c r="P198" s="258" t="str">
        <f t="shared" si="83"/>
        <v/>
      </c>
      <c r="Q198" s="270" t="str">
        <f t="shared" si="84"/>
        <v/>
      </c>
      <c r="R198" s="270" t="str">
        <f t="shared" si="89"/>
        <v/>
      </c>
      <c r="S198" s="340" t="str">
        <f t="shared" si="93"/>
        <v/>
      </c>
      <c r="T198" s="275" t="str">
        <f t="shared" si="85"/>
        <v/>
      </c>
      <c r="U198" s="559" t="str">
        <f t="shared" si="86"/>
        <v/>
      </c>
      <c r="V198" s="560"/>
      <c r="W198" s="562"/>
    </row>
    <row r="199" spans="2:23" ht="15.95" customHeight="1">
      <c r="C199" s="263"/>
      <c r="D199" s="554"/>
      <c r="E199" s="555" t="s">
        <v>590</v>
      </c>
      <c r="F199" s="536"/>
      <c r="G199" s="271" t="str">
        <f t="shared" ref="G199" si="95">IF(D199="","",D199)</f>
        <v/>
      </c>
      <c r="H199" s="258" t="str">
        <f t="shared" si="87"/>
        <v/>
      </c>
      <c r="I199" s="272" t="str">
        <f t="shared" si="91"/>
        <v/>
      </c>
      <c r="J199" s="273"/>
      <c r="K199" s="563"/>
      <c r="L199" s="565" t="str">
        <f t="shared" ref="L199" si="96">IF(C199="","","D-13")</f>
        <v/>
      </c>
      <c r="M199" s="600"/>
      <c r="N199" s="601"/>
      <c r="O199" s="255" t="str">
        <f t="shared" si="88"/>
        <v/>
      </c>
      <c r="P199" s="258" t="str">
        <f t="shared" si="83"/>
        <v/>
      </c>
      <c r="Q199" s="270" t="str">
        <f t="shared" si="84"/>
        <v/>
      </c>
      <c r="R199" s="270" t="str">
        <f t="shared" si="89"/>
        <v/>
      </c>
      <c r="S199" s="340" t="str">
        <f t="shared" si="93"/>
        <v/>
      </c>
      <c r="T199" s="275" t="str">
        <f t="shared" si="85"/>
        <v/>
      </c>
      <c r="U199" s="559" t="str">
        <f t="shared" si="86"/>
        <v/>
      </c>
      <c r="V199" s="560"/>
      <c r="W199" s="561" t="str">
        <f>IF(C199="","",IF($I$91="布",IF(AND(K199&gt;=S199,K199&gt;=S200,$M$152&gt;=U199,$M$152&gt;=U200),"OK","NG"),IF($I$91="ベタ",IF(AND(K199&gt;=S199,K199&gt;=S200),"OK","NG"))))</f>
        <v/>
      </c>
    </row>
    <row r="200" spans="2:23" ht="15.95" customHeight="1">
      <c r="C200" s="336" t="str">
        <f>IF(C199="","",C199)</f>
        <v/>
      </c>
      <c r="D200" s="554"/>
      <c r="E200" s="555"/>
      <c r="F200" s="536"/>
      <c r="G200" s="271" t="str">
        <f t="shared" ref="G200" si="97">IF(F199="","",F199)</f>
        <v/>
      </c>
      <c r="H200" s="258" t="str">
        <f t="shared" si="87"/>
        <v/>
      </c>
      <c r="I200" s="272" t="str">
        <f t="shared" si="91"/>
        <v/>
      </c>
      <c r="J200" s="277" t="str">
        <f>IF(J199="","",J199)</f>
        <v/>
      </c>
      <c r="K200" s="564"/>
      <c r="L200" s="566"/>
      <c r="M200" s="600"/>
      <c r="N200" s="601"/>
      <c r="O200" s="255" t="str">
        <f t="shared" si="88"/>
        <v/>
      </c>
      <c r="P200" s="258" t="str">
        <f t="shared" si="83"/>
        <v/>
      </c>
      <c r="Q200" s="270" t="str">
        <f t="shared" si="84"/>
        <v/>
      </c>
      <c r="R200" s="270" t="str">
        <f t="shared" si="89"/>
        <v/>
      </c>
      <c r="S200" s="340" t="str">
        <f t="shared" si="93"/>
        <v/>
      </c>
      <c r="T200" s="275" t="str">
        <f t="shared" si="85"/>
        <v/>
      </c>
      <c r="U200" s="559" t="str">
        <f t="shared" si="86"/>
        <v/>
      </c>
      <c r="V200" s="560"/>
      <c r="W200" s="562"/>
    </row>
    <row r="201" spans="2:23" ht="15.95" customHeight="1">
      <c r="C201" s="263"/>
      <c r="D201" s="554"/>
      <c r="E201" s="555" t="s">
        <v>447</v>
      </c>
      <c r="F201" s="536"/>
      <c r="G201" s="271" t="str">
        <f t="shared" ref="G201" si="98">IF(D201="","",D201)</f>
        <v/>
      </c>
      <c r="H201" s="258" t="str">
        <f t="shared" si="87"/>
        <v/>
      </c>
      <c r="I201" s="272" t="str">
        <f t="shared" si="91"/>
        <v/>
      </c>
      <c r="J201" s="273"/>
      <c r="K201" s="563"/>
      <c r="L201" s="565" t="str">
        <f t="shared" ref="L201" si="99">IF(C201="","","D-13")</f>
        <v/>
      </c>
      <c r="M201" s="600"/>
      <c r="N201" s="601"/>
      <c r="O201" s="255" t="str">
        <f t="shared" si="88"/>
        <v/>
      </c>
      <c r="P201" s="258" t="str">
        <f t="shared" si="83"/>
        <v/>
      </c>
      <c r="Q201" s="270" t="str">
        <f t="shared" si="84"/>
        <v/>
      </c>
      <c r="R201" s="270" t="str">
        <f t="shared" si="89"/>
        <v/>
      </c>
      <c r="S201" s="340" t="str">
        <f t="shared" si="93"/>
        <v/>
      </c>
      <c r="T201" s="275" t="str">
        <f t="shared" si="85"/>
        <v/>
      </c>
      <c r="U201" s="559" t="str">
        <f t="shared" si="86"/>
        <v/>
      </c>
      <c r="V201" s="560"/>
      <c r="W201" s="561" t="str">
        <f>IF(C201="","",IF($I$91="布",IF(AND(K201&gt;=S201,K201&gt;=S202,$M$152&gt;=U201,$M$152&gt;=U202),"OK","NG"),IF($I$91="ベタ",IF(AND(K201&gt;=S201,K201&gt;=S202),"OK","NG"))))</f>
        <v/>
      </c>
    </row>
    <row r="202" spans="2:23" ht="15.95" customHeight="1">
      <c r="C202" s="336" t="str">
        <f>IF(C201="","",C201)</f>
        <v/>
      </c>
      <c r="D202" s="554"/>
      <c r="E202" s="555"/>
      <c r="F202" s="536"/>
      <c r="G202" s="271" t="str">
        <f t="shared" ref="G202" si="100">IF(F201="","",F201)</f>
        <v/>
      </c>
      <c r="H202" s="258" t="str">
        <f t="shared" si="87"/>
        <v/>
      </c>
      <c r="I202" s="272" t="str">
        <f t="shared" si="91"/>
        <v/>
      </c>
      <c r="J202" s="277" t="str">
        <f>IF(J201="","",J201)</f>
        <v/>
      </c>
      <c r="K202" s="564"/>
      <c r="L202" s="566"/>
      <c r="M202" s="600"/>
      <c r="N202" s="601"/>
      <c r="O202" s="255" t="str">
        <f t="shared" si="88"/>
        <v/>
      </c>
      <c r="P202" s="258" t="str">
        <f t="shared" si="83"/>
        <v/>
      </c>
      <c r="Q202" s="270" t="str">
        <f t="shared" si="84"/>
        <v/>
      </c>
      <c r="R202" s="270" t="str">
        <f t="shared" si="89"/>
        <v/>
      </c>
      <c r="S202" s="340" t="str">
        <f t="shared" si="93"/>
        <v/>
      </c>
      <c r="T202" s="275" t="str">
        <f t="shared" si="85"/>
        <v/>
      </c>
      <c r="U202" s="559" t="str">
        <f t="shared" si="86"/>
        <v/>
      </c>
      <c r="V202" s="560"/>
      <c r="W202" s="562"/>
    </row>
    <row r="203" spans="2:23" ht="15.95" customHeight="1">
      <c r="C203" s="263"/>
      <c r="D203" s="554"/>
      <c r="E203" s="555" t="s">
        <v>447</v>
      </c>
      <c r="F203" s="536"/>
      <c r="G203" s="271" t="str">
        <f t="shared" ref="G203" si="101">IF(D203="","",D203)</f>
        <v/>
      </c>
      <c r="H203" s="258" t="str">
        <f t="shared" si="87"/>
        <v/>
      </c>
      <c r="I203" s="272" t="str">
        <f t="shared" si="91"/>
        <v/>
      </c>
      <c r="J203" s="273"/>
      <c r="K203" s="563"/>
      <c r="L203" s="565" t="str">
        <f t="shared" ref="L203" si="102">IF(C203="","","D-13")</f>
        <v/>
      </c>
      <c r="M203" s="600"/>
      <c r="N203" s="601"/>
      <c r="O203" s="255" t="str">
        <f t="shared" si="88"/>
        <v/>
      </c>
      <c r="P203" s="258" t="str">
        <f t="shared" si="83"/>
        <v/>
      </c>
      <c r="Q203" s="270" t="str">
        <f t="shared" si="84"/>
        <v/>
      </c>
      <c r="R203" s="270" t="str">
        <f t="shared" si="89"/>
        <v/>
      </c>
      <c r="S203" s="340" t="str">
        <f t="shared" si="93"/>
        <v/>
      </c>
      <c r="T203" s="275" t="str">
        <f t="shared" si="85"/>
        <v/>
      </c>
      <c r="U203" s="559" t="str">
        <f t="shared" si="86"/>
        <v/>
      </c>
      <c r="V203" s="560"/>
      <c r="W203" s="561" t="str">
        <f>IF(C203="","",IF($I$91="布",IF(AND(K203&gt;=S203,K203&gt;=S204,$M$152&gt;=U203,$M$152&gt;=U204),"OK","NG"),IF($I$91="ベタ",IF(AND(K203&gt;=S203,K203&gt;=S204),"OK","NG"))))</f>
        <v/>
      </c>
    </row>
    <row r="204" spans="2:23" ht="15.95" customHeight="1">
      <c r="C204" s="336" t="str">
        <f>IF(C203="","",C203)</f>
        <v/>
      </c>
      <c r="D204" s="554"/>
      <c r="E204" s="555"/>
      <c r="F204" s="536"/>
      <c r="G204" s="271" t="str">
        <f t="shared" ref="G204" si="103">IF(F203="","",F203)</f>
        <v/>
      </c>
      <c r="H204" s="258" t="str">
        <f t="shared" si="87"/>
        <v/>
      </c>
      <c r="I204" s="272" t="str">
        <f t="shared" si="91"/>
        <v/>
      </c>
      <c r="J204" s="277" t="str">
        <f>IF(J203="","",J203)</f>
        <v/>
      </c>
      <c r="K204" s="564"/>
      <c r="L204" s="566"/>
      <c r="M204" s="600"/>
      <c r="N204" s="601"/>
      <c r="O204" s="255" t="str">
        <f t="shared" si="88"/>
        <v/>
      </c>
      <c r="P204" s="258" t="str">
        <f t="shared" si="83"/>
        <v/>
      </c>
      <c r="Q204" s="270" t="str">
        <f t="shared" si="84"/>
        <v/>
      </c>
      <c r="R204" s="270" t="str">
        <f t="shared" si="89"/>
        <v/>
      </c>
      <c r="S204" s="340" t="str">
        <f t="shared" si="93"/>
        <v/>
      </c>
      <c r="T204" s="275" t="str">
        <f t="shared" si="85"/>
        <v/>
      </c>
      <c r="U204" s="559" t="str">
        <f t="shared" si="86"/>
        <v/>
      </c>
      <c r="V204" s="560"/>
      <c r="W204" s="562"/>
    </row>
    <row r="205" spans="2:23" ht="15.95" customHeight="1">
      <c r="C205" s="263"/>
      <c r="D205" s="554"/>
      <c r="E205" s="555" t="s">
        <v>447</v>
      </c>
      <c r="F205" s="536"/>
      <c r="G205" s="271" t="str">
        <f t="shared" ref="G205" si="104">IF(D205="","",D205)</f>
        <v/>
      </c>
      <c r="H205" s="258" t="str">
        <f t="shared" si="87"/>
        <v/>
      </c>
      <c r="I205" s="272" t="str">
        <f t="shared" si="91"/>
        <v/>
      </c>
      <c r="J205" s="273"/>
      <c r="K205" s="563"/>
      <c r="L205" s="565" t="str">
        <f t="shared" ref="L205" si="105">IF(C205="","","D-13")</f>
        <v/>
      </c>
      <c r="M205" s="600"/>
      <c r="N205" s="601"/>
      <c r="O205" s="255" t="str">
        <f t="shared" si="88"/>
        <v/>
      </c>
      <c r="P205" s="258" t="str">
        <f t="shared" si="83"/>
        <v/>
      </c>
      <c r="Q205" s="270" t="str">
        <f t="shared" si="84"/>
        <v/>
      </c>
      <c r="R205" s="270" t="str">
        <f t="shared" si="89"/>
        <v/>
      </c>
      <c r="S205" s="340" t="str">
        <f t="shared" si="93"/>
        <v/>
      </c>
      <c r="T205" s="275" t="str">
        <f t="shared" si="85"/>
        <v/>
      </c>
      <c r="U205" s="559" t="str">
        <f t="shared" si="86"/>
        <v/>
      </c>
      <c r="V205" s="560"/>
      <c r="W205" s="561" t="str">
        <f>IF(C205="","",IF($I$91="布",IF(AND(K205&gt;=S205,K205&gt;=S206,$M$152&gt;=U205,$M$152&gt;=U206),"OK","NG"),IF($I$91="ベタ",IF(AND(K205&gt;=S205,K205&gt;=S206),"OK","NG"))))</f>
        <v/>
      </c>
    </row>
    <row r="206" spans="2:23" ht="15.95" customHeight="1">
      <c r="C206" s="336" t="str">
        <f>IF(C205="","",C205)</f>
        <v/>
      </c>
      <c r="D206" s="554"/>
      <c r="E206" s="555"/>
      <c r="F206" s="536"/>
      <c r="G206" s="271" t="str">
        <f t="shared" ref="G206" si="106">IF(F205="","",F205)</f>
        <v/>
      </c>
      <c r="H206" s="258" t="str">
        <f t="shared" si="87"/>
        <v/>
      </c>
      <c r="I206" s="272" t="str">
        <f t="shared" si="91"/>
        <v/>
      </c>
      <c r="J206" s="277" t="str">
        <f>IF(J205="","",J205)</f>
        <v/>
      </c>
      <c r="K206" s="564"/>
      <c r="L206" s="566"/>
      <c r="M206" s="600"/>
      <c r="N206" s="601"/>
      <c r="O206" s="255" t="str">
        <f t="shared" si="88"/>
        <v/>
      </c>
      <c r="P206" s="258" t="str">
        <f t="shared" si="83"/>
        <v/>
      </c>
      <c r="Q206" s="270" t="str">
        <f t="shared" si="84"/>
        <v/>
      </c>
      <c r="R206" s="270" t="str">
        <f t="shared" si="89"/>
        <v/>
      </c>
      <c r="S206" s="340" t="str">
        <f t="shared" si="93"/>
        <v/>
      </c>
      <c r="T206" s="275" t="str">
        <f t="shared" si="85"/>
        <v/>
      </c>
      <c r="U206" s="559" t="str">
        <f t="shared" si="86"/>
        <v/>
      </c>
      <c r="V206" s="560"/>
      <c r="W206" s="562"/>
    </row>
    <row r="207" spans="2:23" ht="15.95" customHeight="1">
      <c r="C207" s="263"/>
      <c r="D207" s="554"/>
      <c r="E207" s="555" t="s">
        <v>447</v>
      </c>
      <c r="F207" s="536"/>
      <c r="G207" s="271" t="str">
        <f t="shared" ref="G207" si="107">IF(D207="","",D207)</f>
        <v/>
      </c>
      <c r="H207" s="258" t="str">
        <f t="shared" si="87"/>
        <v/>
      </c>
      <c r="I207" s="272" t="str">
        <f t="shared" si="91"/>
        <v/>
      </c>
      <c r="J207" s="273"/>
      <c r="K207" s="563"/>
      <c r="L207" s="565" t="str">
        <f t="shared" ref="L207" si="108">IF(C207="","","D-13")</f>
        <v/>
      </c>
      <c r="M207" s="600"/>
      <c r="N207" s="601"/>
      <c r="O207" s="255" t="str">
        <f t="shared" si="88"/>
        <v/>
      </c>
      <c r="P207" s="258" t="str">
        <f t="shared" si="83"/>
        <v/>
      </c>
      <c r="Q207" s="270" t="str">
        <f t="shared" si="84"/>
        <v/>
      </c>
      <c r="R207" s="270" t="str">
        <f t="shared" si="89"/>
        <v/>
      </c>
      <c r="S207" s="340" t="str">
        <f t="shared" si="93"/>
        <v/>
      </c>
      <c r="T207" s="275" t="str">
        <f t="shared" si="85"/>
        <v/>
      </c>
      <c r="U207" s="559" t="str">
        <f t="shared" si="86"/>
        <v/>
      </c>
      <c r="V207" s="560"/>
      <c r="W207" s="561" t="str">
        <f>IF(C207="","",IF($I$91="布",IF(AND(K207&gt;=S207,K207&gt;=S208,$M$152&gt;=U207,$M$152&gt;=U208),"OK","NG"),IF($I$91="ベタ",IF(AND(K207&gt;=S207,K207&gt;=S208),"OK","NG"))))</f>
        <v/>
      </c>
    </row>
    <row r="208" spans="2:23" ht="15.95" customHeight="1">
      <c r="C208" s="336" t="str">
        <f>IF(C207="","",C207)</f>
        <v/>
      </c>
      <c r="D208" s="554"/>
      <c r="E208" s="555"/>
      <c r="F208" s="536"/>
      <c r="G208" s="271" t="str">
        <f t="shared" ref="G208" si="109">IF(F207="","",F207)</f>
        <v/>
      </c>
      <c r="H208" s="258" t="str">
        <f t="shared" si="87"/>
        <v/>
      </c>
      <c r="I208" s="272" t="str">
        <f t="shared" si="91"/>
        <v/>
      </c>
      <c r="J208" s="277" t="str">
        <f>IF(J207="","",J207)</f>
        <v/>
      </c>
      <c r="K208" s="564"/>
      <c r="L208" s="566"/>
      <c r="M208" s="600"/>
      <c r="N208" s="601"/>
      <c r="O208" s="255" t="str">
        <f t="shared" si="88"/>
        <v/>
      </c>
      <c r="P208" s="258" t="str">
        <f t="shared" si="83"/>
        <v/>
      </c>
      <c r="Q208" s="270" t="str">
        <f t="shared" si="84"/>
        <v/>
      </c>
      <c r="R208" s="270" t="str">
        <f t="shared" si="89"/>
        <v/>
      </c>
      <c r="S208" s="340" t="str">
        <f t="shared" si="93"/>
        <v/>
      </c>
      <c r="T208" s="275" t="str">
        <f t="shared" si="85"/>
        <v/>
      </c>
      <c r="U208" s="559" t="str">
        <f t="shared" si="86"/>
        <v/>
      </c>
      <c r="V208" s="560"/>
      <c r="W208" s="562"/>
    </row>
    <row r="209" spans="3:23" ht="15.95" customHeight="1">
      <c r="C209" s="263"/>
      <c r="D209" s="554"/>
      <c r="E209" s="555" t="s">
        <v>447</v>
      </c>
      <c r="F209" s="536"/>
      <c r="G209" s="271" t="str">
        <f t="shared" ref="G209" si="110">IF(D209="","",D209)</f>
        <v/>
      </c>
      <c r="H209" s="258" t="str">
        <f t="shared" si="87"/>
        <v/>
      </c>
      <c r="I209" s="272" t="str">
        <f t="shared" si="91"/>
        <v/>
      </c>
      <c r="J209" s="273"/>
      <c r="K209" s="563"/>
      <c r="L209" s="565" t="str">
        <f t="shared" ref="L209" si="111">IF(C209="","","D-13")</f>
        <v/>
      </c>
      <c r="M209" s="600"/>
      <c r="N209" s="601"/>
      <c r="O209" s="255" t="str">
        <f t="shared" si="88"/>
        <v/>
      </c>
      <c r="P209" s="258" t="str">
        <f t="shared" si="83"/>
        <v/>
      </c>
      <c r="Q209" s="270" t="str">
        <f t="shared" si="84"/>
        <v/>
      </c>
      <c r="R209" s="270" t="str">
        <f t="shared" si="89"/>
        <v/>
      </c>
      <c r="S209" s="340" t="str">
        <f t="shared" si="93"/>
        <v/>
      </c>
      <c r="T209" s="275" t="str">
        <f t="shared" si="85"/>
        <v/>
      </c>
      <c r="U209" s="559" t="str">
        <f t="shared" si="86"/>
        <v/>
      </c>
      <c r="V209" s="560"/>
      <c r="W209" s="561" t="str">
        <f>IF(C209="","",IF($I$91="布",IF(AND(K209&gt;=S209,K209&gt;=S210,$M$152&gt;=U209,$M$152&gt;=U210),"OK","NG"),IF($I$91="ベタ",IF(AND(K209&gt;=S209,K209&gt;=S210),"OK","NG"))))</f>
        <v/>
      </c>
    </row>
    <row r="210" spans="3:23" ht="15.95" customHeight="1">
      <c r="C210" s="336" t="str">
        <f>IF(C209="","",C209)</f>
        <v/>
      </c>
      <c r="D210" s="554"/>
      <c r="E210" s="555"/>
      <c r="F210" s="536"/>
      <c r="G210" s="271" t="str">
        <f t="shared" ref="G210" si="112">IF(F209="","",F209)</f>
        <v/>
      </c>
      <c r="H210" s="258" t="str">
        <f t="shared" si="87"/>
        <v/>
      </c>
      <c r="I210" s="272" t="str">
        <f t="shared" si="91"/>
        <v/>
      </c>
      <c r="J210" s="277" t="str">
        <f>IF(J209="","",J209)</f>
        <v/>
      </c>
      <c r="K210" s="564"/>
      <c r="L210" s="566"/>
      <c r="M210" s="600"/>
      <c r="N210" s="601"/>
      <c r="O210" s="255" t="str">
        <f t="shared" si="88"/>
        <v/>
      </c>
      <c r="P210" s="258" t="str">
        <f t="shared" si="83"/>
        <v/>
      </c>
      <c r="Q210" s="270" t="str">
        <f t="shared" si="84"/>
        <v/>
      </c>
      <c r="R210" s="270" t="str">
        <f t="shared" si="89"/>
        <v/>
      </c>
      <c r="S210" s="340" t="str">
        <f t="shared" si="93"/>
        <v/>
      </c>
      <c r="T210" s="275" t="str">
        <f t="shared" si="85"/>
        <v/>
      </c>
      <c r="U210" s="559" t="str">
        <f t="shared" si="86"/>
        <v/>
      </c>
      <c r="V210" s="560"/>
      <c r="W210" s="562"/>
    </row>
    <row r="211" spans="3:23" ht="15.95" customHeight="1">
      <c r="C211" s="263"/>
      <c r="D211" s="554"/>
      <c r="E211" s="555" t="s">
        <v>447</v>
      </c>
      <c r="F211" s="536"/>
      <c r="G211" s="271" t="str">
        <f t="shared" ref="G211" si="113">IF(D211="","",D211)</f>
        <v/>
      </c>
      <c r="H211" s="258" t="str">
        <f t="shared" si="87"/>
        <v/>
      </c>
      <c r="I211" s="272" t="str">
        <f t="shared" si="91"/>
        <v/>
      </c>
      <c r="J211" s="273"/>
      <c r="K211" s="563"/>
      <c r="L211" s="565" t="str">
        <f t="shared" ref="L211" si="114">IF(C211="","","D-13")</f>
        <v/>
      </c>
      <c r="M211" s="600"/>
      <c r="N211" s="601"/>
      <c r="O211" s="255" t="str">
        <f t="shared" si="88"/>
        <v/>
      </c>
      <c r="P211" s="258" t="str">
        <f t="shared" si="83"/>
        <v/>
      </c>
      <c r="Q211" s="270" t="str">
        <f t="shared" si="84"/>
        <v/>
      </c>
      <c r="R211" s="270" t="str">
        <f t="shared" si="89"/>
        <v/>
      </c>
      <c r="S211" s="340" t="str">
        <f t="shared" si="93"/>
        <v/>
      </c>
      <c r="T211" s="275" t="str">
        <f t="shared" si="85"/>
        <v/>
      </c>
      <c r="U211" s="559" t="str">
        <f t="shared" si="86"/>
        <v/>
      </c>
      <c r="V211" s="560"/>
      <c r="W211" s="561" t="str">
        <f>IF(C211="","",IF($I$91="布",IF(AND(K211&gt;=S211,K211&gt;=S212,$M$152&gt;=U211,$M$152&gt;=U212),"OK","NG"),IF($I$91="ベタ",IF(AND(K211&gt;=S211,K211&gt;=S212),"OK","NG"))))</f>
        <v/>
      </c>
    </row>
    <row r="212" spans="3:23" ht="15.95" customHeight="1">
      <c r="C212" s="336" t="str">
        <f>IF(C211="","",C211)</f>
        <v/>
      </c>
      <c r="D212" s="554"/>
      <c r="E212" s="555"/>
      <c r="F212" s="536"/>
      <c r="G212" s="271" t="str">
        <f t="shared" ref="G212" si="115">IF(F211="","",F211)</f>
        <v/>
      </c>
      <c r="H212" s="258" t="str">
        <f t="shared" si="87"/>
        <v/>
      </c>
      <c r="I212" s="272" t="str">
        <f t="shared" si="91"/>
        <v/>
      </c>
      <c r="J212" s="277" t="str">
        <f>IF(J211="","",J211)</f>
        <v/>
      </c>
      <c r="K212" s="564"/>
      <c r="L212" s="566"/>
      <c r="M212" s="600"/>
      <c r="N212" s="601"/>
      <c r="O212" s="255" t="str">
        <f t="shared" si="88"/>
        <v/>
      </c>
      <c r="P212" s="258" t="str">
        <f t="shared" si="83"/>
        <v/>
      </c>
      <c r="Q212" s="270" t="str">
        <f t="shared" si="84"/>
        <v/>
      </c>
      <c r="R212" s="270" t="str">
        <f t="shared" si="89"/>
        <v/>
      </c>
      <c r="S212" s="340" t="str">
        <f t="shared" si="93"/>
        <v/>
      </c>
      <c r="T212" s="275" t="str">
        <f t="shared" si="85"/>
        <v/>
      </c>
      <c r="U212" s="559" t="str">
        <f t="shared" si="86"/>
        <v/>
      </c>
      <c r="V212" s="560"/>
      <c r="W212" s="562"/>
    </row>
    <row r="213" spans="3:23" ht="15.95" customHeight="1">
      <c r="C213" s="263"/>
      <c r="D213" s="554"/>
      <c r="E213" s="555" t="s">
        <v>447</v>
      </c>
      <c r="F213" s="536"/>
      <c r="G213" s="271" t="str">
        <f t="shared" ref="G213" si="116">IF(D213="","",D213)</f>
        <v/>
      </c>
      <c r="H213" s="258" t="str">
        <f t="shared" si="87"/>
        <v/>
      </c>
      <c r="I213" s="272" t="str">
        <f t="shared" si="91"/>
        <v/>
      </c>
      <c r="J213" s="273"/>
      <c r="K213" s="563"/>
      <c r="L213" s="565" t="str">
        <f t="shared" ref="L213" si="117">IF(C213="","","D-13")</f>
        <v/>
      </c>
      <c r="M213" s="600"/>
      <c r="N213" s="601"/>
      <c r="O213" s="255" t="str">
        <f t="shared" si="88"/>
        <v/>
      </c>
      <c r="P213" s="258" t="str">
        <f t="shared" si="83"/>
        <v/>
      </c>
      <c r="Q213" s="270" t="str">
        <f t="shared" si="84"/>
        <v/>
      </c>
      <c r="R213" s="270" t="str">
        <f t="shared" si="89"/>
        <v/>
      </c>
      <c r="S213" s="340" t="str">
        <f t="shared" si="93"/>
        <v/>
      </c>
      <c r="T213" s="275" t="str">
        <f t="shared" si="85"/>
        <v/>
      </c>
      <c r="U213" s="559" t="str">
        <f t="shared" si="86"/>
        <v/>
      </c>
      <c r="V213" s="560"/>
      <c r="W213" s="561" t="str">
        <f>IF(C213="","",IF($I$91="布",IF(AND(K213&gt;=S213,K213&gt;=S214,$M$152&gt;=U213,$M$152&gt;=U214),"OK","NG"),IF($I$91="ベタ",IF(AND(K213&gt;=S213,K213&gt;=S214),"OK","NG"))))</f>
        <v/>
      </c>
    </row>
    <row r="214" spans="3:23" ht="15.95" customHeight="1">
      <c r="C214" s="336" t="str">
        <f>IF(C213="","",C213)</f>
        <v/>
      </c>
      <c r="D214" s="554"/>
      <c r="E214" s="555"/>
      <c r="F214" s="536"/>
      <c r="G214" s="271" t="str">
        <f t="shared" ref="G214" si="118">IF(F213="","",F213)</f>
        <v/>
      </c>
      <c r="H214" s="258" t="str">
        <f t="shared" si="87"/>
        <v/>
      </c>
      <c r="I214" s="272" t="str">
        <f t="shared" si="91"/>
        <v/>
      </c>
      <c r="J214" s="277" t="str">
        <f>IF(J213="","",J213)</f>
        <v/>
      </c>
      <c r="K214" s="564"/>
      <c r="L214" s="566"/>
      <c r="M214" s="600"/>
      <c r="N214" s="601"/>
      <c r="O214" s="255" t="str">
        <f t="shared" si="88"/>
        <v/>
      </c>
      <c r="P214" s="258" t="str">
        <f t="shared" si="83"/>
        <v/>
      </c>
      <c r="Q214" s="270" t="str">
        <f t="shared" si="84"/>
        <v/>
      </c>
      <c r="R214" s="270" t="str">
        <f t="shared" si="89"/>
        <v/>
      </c>
      <c r="S214" s="340" t="str">
        <f t="shared" si="93"/>
        <v/>
      </c>
      <c r="T214" s="275" t="str">
        <f t="shared" si="85"/>
        <v/>
      </c>
      <c r="U214" s="559" t="str">
        <f t="shared" si="86"/>
        <v/>
      </c>
      <c r="V214" s="560"/>
      <c r="W214" s="562"/>
    </row>
    <row r="215" spans="3:23" ht="15.95" customHeight="1">
      <c r="C215" s="263"/>
      <c r="D215" s="554"/>
      <c r="E215" s="555" t="s">
        <v>447</v>
      </c>
      <c r="F215" s="536"/>
      <c r="G215" s="271" t="str">
        <f t="shared" ref="G215" si="119">IF(D215="","",D215)</f>
        <v/>
      </c>
      <c r="H215" s="258" t="str">
        <f t="shared" si="87"/>
        <v/>
      </c>
      <c r="I215" s="272" t="str">
        <f t="shared" si="91"/>
        <v/>
      </c>
      <c r="J215" s="273"/>
      <c r="K215" s="563"/>
      <c r="L215" s="565" t="str">
        <f t="shared" ref="L215" si="120">IF(C215="","","D-13")</f>
        <v/>
      </c>
      <c r="M215" s="600"/>
      <c r="N215" s="601"/>
      <c r="O215" s="255" t="str">
        <f t="shared" si="88"/>
        <v/>
      </c>
      <c r="P215" s="258" t="str">
        <f t="shared" si="83"/>
        <v/>
      </c>
      <c r="Q215" s="270" t="str">
        <f t="shared" si="84"/>
        <v/>
      </c>
      <c r="R215" s="270" t="str">
        <f t="shared" si="89"/>
        <v/>
      </c>
      <c r="S215" s="340" t="str">
        <f t="shared" si="93"/>
        <v/>
      </c>
      <c r="T215" s="275" t="str">
        <f t="shared" si="85"/>
        <v/>
      </c>
      <c r="U215" s="559" t="str">
        <f t="shared" si="86"/>
        <v/>
      </c>
      <c r="V215" s="560"/>
      <c r="W215" s="561" t="str">
        <f>IF(C215="","",IF($I$91="布",IF(AND(K215&gt;=S215,K215&gt;=S216,$M$152&gt;=U215,$M$152&gt;=U216),"OK","NG"),IF($I$91="ベタ",IF(AND(K215&gt;=S215,K215&gt;=S216),"OK","NG"))))</f>
        <v/>
      </c>
    </row>
    <row r="216" spans="3:23" ht="15.95" customHeight="1">
      <c r="C216" s="336" t="str">
        <f>IF(C215="","",C215)</f>
        <v/>
      </c>
      <c r="D216" s="554"/>
      <c r="E216" s="555"/>
      <c r="F216" s="536"/>
      <c r="G216" s="271" t="str">
        <f t="shared" ref="G216" si="121">IF(F215="","",F215)</f>
        <v/>
      </c>
      <c r="H216" s="258" t="str">
        <f t="shared" si="87"/>
        <v/>
      </c>
      <c r="I216" s="272" t="str">
        <f t="shared" si="91"/>
        <v/>
      </c>
      <c r="J216" s="277" t="str">
        <f>IF(J215="","",J215)</f>
        <v/>
      </c>
      <c r="K216" s="564"/>
      <c r="L216" s="566"/>
      <c r="M216" s="600"/>
      <c r="N216" s="601"/>
      <c r="O216" s="255" t="str">
        <f t="shared" si="88"/>
        <v/>
      </c>
      <c r="P216" s="258" t="str">
        <f t="shared" si="83"/>
        <v/>
      </c>
      <c r="Q216" s="270" t="str">
        <f t="shared" si="84"/>
        <v/>
      </c>
      <c r="R216" s="270" t="str">
        <f t="shared" si="89"/>
        <v/>
      </c>
      <c r="S216" s="340" t="str">
        <f t="shared" si="93"/>
        <v/>
      </c>
      <c r="T216" s="275" t="str">
        <f t="shared" si="85"/>
        <v/>
      </c>
      <c r="U216" s="559" t="str">
        <f t="shared" si="86"/>
        <v/>
      </c>
      <c r="V216" s="560"/>
      <c r="W216" s="562"/>
    </row>
    <row r="217" spans="3:23" ht="15.95" customHeight="1">
      <c r="C217" s="263"/>
      <c r="D217" s="554"/>
      <c r="E217" s="555" t="s">
        <v>447</v>
      </c>
      <c r="F217" s="536"/>
      <c r="G217" s="271" t="str">
        <f t="shared" ref="G217" si="122">IF(D217="","",D217)</f>
        <v/>
      </c>
      <c r="H217" s="258" t="str">
        <f t="shared" si="87"/>
        <v/>
      </c>
      <c r="I217" s="272" t="str">
        <f t="shared" si="91"/>
        <v/>
      </c>
      <c r="J217" s="273"/>
      <c r="K217" s="563"/>
      <c r="L217" s="565" t="str">
        <f t="shared" ref="L217" si="123">IF(C217="","","D-13")</f>
        <v/>
      </c>
      <c r="M217" s="600"/>
      <c r="N217" s="601"/>
      <c r="O217" s="255" t="str">
        <f t="shared" si="88"/>
        <v/>
      </c>
      <c r="P217" s="258" t="str">
        <f t="shared" si="83"/>
        <v/>
      </c>
      <c r="Q217" s="270" t="str">
        <f t="shared" si="84"/>
        <v/>
      </c>
      <c r="R217" s="270" t="str">
        <f t="shared" si="89"/>
        <v/>
      </c>
      <c r="S217" s="340" t="str">
        <f t="shared" si="93"/>
        <v/>
      </c>
      <c r="T217" s="275" t="str">
        <f t="shared" si="85"/>
        <v/>
      </c>
      <c r="U217" s="559" t="str">
        <f t="shared" si="86"/>
        <v/>
      </c>
      <c r="V217" s="560"/>
      <c r="W217" s="561" t="str">
        <f>IF(C217="","",IF($I$91="布",IF(AND(K217&gt;=S217,K217&gt;=S218,$M$152&gt;=U217,$M$152&gt;=U218),"OK","NG"),IF($I$91="ベタ",IF(AND(K217&gt;=S217,K217&gt;=S218),"OK","NG"))))</f>
        <v/>
      </c>
    </row>
    <row r="218" spans="3:23" ht="15.95" customHeight="1">
      <c r="C218" s="336" t="str">
        <f>IF(C217="","",C217)</f>
        <v/>
      </c>
      <c r="D218" s="554"/>
      <c r="E218" s="555"/>
      <c r="F218" s="536"/>
      <c r="G218" s="271" t="str">
        <f t="shared" ref="G218" si="124">IF(F217="","",F217)</f>
        <v/>
      </c>
      <c r="H218" s="258" t="str">
        <f t="shared" si="87"/>
        <v/>
      </c>
      <c r="I218" s="272" t="str">
        <f t="shared" si="91"/>
        <v/>
      </c>
      <c r="J218" s="277" t="str">
        <f>IF(J217="","",J217)</f>
        <v/>
      </c>
      <c r="K218" s="564"/>
      <c r="L218" s="566"/>
      <c r="M218" s="600"/>
      <c r="N218" s="601"/>
      <c r="O218" s="255" t="str">
        <f t="shared" si="88"/>
        <v/>
      </c>
      <c r="P218" s="258" t="str">
        <f t="shared" si="83"/>
        <v/>
      </c>
      <c r="Q218" s="270" t="str">
        <f t="shared" si="84"/>
        <v/>
      </c>
      <c r="R218" s="270" t="str">
        <f t="shared" si="89"/>
        <v/>
      </c>
      <c r="S218" s="340" t="str">
        <f t="shared" si="93"/>
        <v/>
      </c>
      <c r="T218" s="275" t="str">
        <f t="shared" si="85"/>
        <v/>
      </c>
      <c r="U218" s="559" t="str">
        <f t="shared" si="86"/>
        <v/>
      </c>
      <c r="V218" s="560"/>
      <c r="W218" s="562"/>
    </row>
    <row r="219" spans="3:23" ht="15.95" customHeight="1">
      <c r="C219" s="263"/>
      <c r="D219" s="554"/>
      <c r="E219" s="555" t="s">
        <v>447</v>
      </c>
      <c r="F219" s="536"/>
      <c r="G219" s="271" t="str">
        <f t="shared" ref="G219" si="125">IF(D219="","",D219)</f>
        <v/>
      </c>
      <c r="H219" s="258" t="str">
        <f t="shared" si="87"/>
        <v/>
      </c>
      <c r="I219" s="272" t="str">
        <f t="shared" si="91"/>
        <v/>
      </c>
      <c r="J219" s="273"/>
      <c r="K219" s="563"/>
      <c r="L219" s="565" t="str">
        <f t="shared" ref="L219" si="126">IF(C219="","","D-13")</f>
        <v/>
      </c>
      <c r="M219" s="600"/>
      <c r="N219" s="601"/>
      <c r="O219" s="255" t="str">
        <f t="shared" si="88"/>
        <v/>
      </c>
      <c r="P219" s="258" t="str">
        <f t="shared" si="83"/>
        <v/>
      </c>
      <c r="Q219" s="270" t="str">
        <f t="shared" si="84"/>
        <v/>
      </c>
      <c r="R219" s="270" t="str">
        <f t="shared" si="89"/>
        <v/>
      </c>
      <c r="S219" s="340" t="str">
        <f t="shared" si="93"/>
        <v/>
      </c>
      <c r="T219" s="275" t="str">
        <f t="shared" si="85"/>
        <v/>
      </c>
      <c r="U219" s="559" t="str">
        <f t="shared" si="86"/>
        <v/>
      </c>
      <c r="V219" s="560"/>
      <c r="W219" s="561" t="str">
        <f>IF(C219="","",IF($I$91="布",IF(AND(K219&gt;=S219,K219&gt;=S220,$M$152&gt;=U219,$M$152&gt;=U220),"OK","NG"),IF($I$91="ベタ",IF(AND(K219&gt;=S219,K219&gt;=S220),"OK","NG"))))</f>
        <v/>
      </c>
    </row>
    <row r="220" spans="3:23" ht="15.95" customHeight="1">
      <c r="C220" s="336" t="str">
        <f>IF(C219="","",C219)</f>
        <v/>
      </c>
      <c r="D220" s="554"/>
      <c r="E220" s="555"/>
      <c r="F220" s="536"/>
      <c r="G220" s="271" t="str">
        <f t="shared" ref="G220" si="127">IF(F219="","",F219)</f>
        <v/>
      </c>
      <c r="H220" s="258" t="str">
        <f t="shared" si="87"/>
        <v/>
      </c>
      <c r="I220" s="272" t="str">
        <f t="shared" si="91"/>
        <v/>
      </c>
      <c r="J220" s="277" t="str">
        <f>IF(J219="","",J219)</f>
        <v/>
      </c>
      <c r="K220" s="564"/>
      <c r="L220" s="566"/>
      <c r="M220" s="600"/>
      <c r="N220" s="601"/>
      <c r="O220" s="255" t="str">
        <f t="shared" si="88"/>
        <v/>
      </c>
      <c r="P220" s="258" t="str">
        <f t="shared" si="83"/>
        <v/>
      </c>
      <c r="Q220" s="270" t="str">
        <f t="shared" si="84"/>
        <v/>
      </c>
      <c r="R220" s="270" t="str">
        <f t="shared" si="89"/>
        <v/>
      </c>
      <c r="S220" s="340" t="str">
        <f t="shared" si="93"/>
        <v/>
      </c>
      <c r="T220" s="275" t="str">
        <f t="shared" si="85"/>
        <v/>
      </c>
      <c r="U220" s="559" t="str">
        <f t="shared" si="86"/>
        <v/>
      </c>
      <c r="V220" s="560"/>
      <c r="W220" s="562"/>
    </row>
    <row r="221" spans="3:23" ht="15.95" customHeight="1">
      <c r="C221" s="263"/>
      <c r="D221" s="554"/>
      <c r="E221" s="555" t="s">
        <v>447</v>
      </c>
      <c r="F221" s="536"/>
      <c r="G221" s="271" t="str">
        <f t="shared" ref="G221" si="128">IF(D221="","",D221)</f>
        <v/>
      </c>
      <c r="H221" s="258" t="str">
        <f t="shared" si="87"/>
        <v/>
      </c>
      <c r="I221" s="272" t="str">
        <f t="shared" si="91"/>
        <v/>
      </c>
      <c r="J221" s="273"/>
      <c r="K221" s="563"/>
      <c r="L221" s="565" t="str">
        <f t="shared" ref="L221" si="129">IF(C221="","","D-13")</f>
        <v/>
      </c>
      <c r="M221" s="600"/>
      <c r="N221" s="601"/>
      <c r="O221" s="255" t="str">
        <f t="shared" si="88"/>
        <v/>
      </c>
      <c r="P221" s="258" t="str">
        <f t="shared" si="83"/>
        <v/>
      </c>
      <c r="Q221" s="270" t="str">
        <f t="shared" si="84"/>
        <v/>
      </c>
      <c r="R221" s="270" t="str">
        <f t="shared" si="89"/>
        <v/>
      </c>
      <c r="S221" s="340" t="str">
        <f t="shared" si="93"/>
        <v/>
      </c>
      <c r="T221" s="275" t="str">
        <f t="shared" si="85"/>
        <v/>
      </c>
      <c r="U221" s="559" t="str">
        <f t="shared" si="86"/>
        <v/>
      </c>
      <c r="V221" s="560"/>
      <c r="W221" s="561" t="str">
        <f>IF(C221="","",IF($I$91="布",IF(AND(K221&gt;=S221,K221&gt;=S222,$M$152&gt;=U221,$M$152&gt;=U222),"OK","NG"),IF($I$91="ベタ",IF(AND(K221&gt;=S221,K221&gt;=S222),"OK","NG"))))</f>
        <v/>
      </c>
    </row>
    <row r="222" spans="3:23" ht="15.95" customHeight="1">
      <c r="C222" s="336" t="str">
        <f>IF(C221="","",C221)</f>
        <v/>
      </c>
      <c r="D222" s="554"/>
      <c r="E222" s="555"/>
      <c r="F222" s="536"/>
      <c r="G222" s="271" t="str">
        <f t="shared" ref="G222" si="130">IF(F221="","",F221)</f>
        <v/>
      </c>
      <c r="H222" s="258" t="str">
        <f t="shared" si="87"/>
        <v/>
      </c>
      <c r="I222" s="272" t="str">
        <f t="shared" si="91"/>
        <v/>
      </c>
      <c r="J222" s="277" t="str">
        <f>IF(J221="","",J221)</f>
        <v/>
      </c>
      <c r="K222" s="564"/>
      <c r="L222" s="566"/>
      <c r="M222" s="600"/>
      <c r="N222" s="601"/>
      <c r="O222" s="255" t="str">
        <f t="shared" si="88"/>
        <v/>
      </c>
      <c r="P222" s="258" t="str">
        <f t="shared" si="83"/>
        <v/>
      </c>
      <c r="Q222" s="270" t="str">
        <f t="shared" si="84"/>
        <v/>
      </c>
      <c r="R222" s="270" t="str">
        <f t="shared" si="89"/>
        <v/>
      </c>
      <c r="S222" s="340" t="str">
        <f t="shared" si="93"/>
        <v/>
      </c>
      <c r="T222" s="275" t="str">
        <f t="shared" si="85"/>
        <v/>
      </c>
      <c r="U222" s="559" t="str">
        <f t="shared" si="86"/>
        <v/>
      </c>
      <c r="V222" s="560"/>
      <c r="W222" s="562"/>
    </row>
    <row r="223" spans="3:23" ht="15.95" customHeight="1">
      <c r="C223" s="263"/>
      <c r="D223" s="554"/>
      <c r="E223" s="555" t="s">
        <v>447</v>
      </c>
      <c r="F223" s="536"/>
      <c r="G223" s="271" t="str">
        <f t="shared" ref="G223" si="131">IF(D223="","",D223)</f>
        <v/>
      </c>
      <c r="H223" s="258" t="str">
        <f t="shared" si="87"/>
        <v/>
      </c>
      <c r="I223" s="272" t="str">
        <f t="shared" si="91"/>
        <v/>
      </c>
      <c r="J223" s="273"/>
      <c r="K223" s="563"/>
      <c r="L223" s="565" t="str">
        <f t="shared" ref="L223" si="132">IF(C223="","","D-13")</f>
        <v/>
      </c>
      <c r="M223" s="600"/>
      <c r="N223" s="601"/>
      <c r="O223" s="255" t="str">
        <f t="shared" si="88"/>
        <v/>
      </c>
      <c r="P223" s="258" t="str">
        <f t="shared" si="83"/>
        <v/>
      </c>
      <c r="Q223" s="270" t="str">
        <f t="shared" si="84"/>
        <v/>
      </c>
      <c r="R223" s="270" t="str">
        <f t="shared" si="89"/>
        <v/>
      </c>
      <c r="S223" s="340" t="str">
        <f t="shared" si="93"/>
        <v/>
      </c>
      <c r="T223" s="275" t="str">
        <f t="shared" si="85"/>
        <v/>
      </c>
      <c r="U223" s="559" t="str">
        <f t="shared" si="86"/>
        <v/>
      </c>
      <c r="V223" s="560"/>
      <c r="W223" s="561" t="str">
        <f>IF(C223="","",IF($I$91="布",IF(AND(K223&gt;=S223,K223&gt;=S224,$M$152&gt;=U223,$M$152&gt;=U224),"OK","NG"),IF($I$91="ベタ",IF(AND(K223&gt;=S223,K223&gt;=S224),"OK","NG"))))</f>
        <v/>
      </c>
    </row>
    <row r="224" spans="3:23" ht="15.95" customHeight="1">
      <c r="C224" s="336" t="str">
        <f>IF(C223="","",C223)</f>
        <v/>
      </c>
      <c r="D224" s="554"/>
      <c r="E224" s="555"/>
      <c r="F224" s="536"/>
      <c r="G224" s="271" t="str">
        <f t="shared" ref="G224" si="133">IF(F223="","",F223)</f>
        <v/>
      </c>
      <c r="H224" s="258" t="str">
        <f t="shared" si="87"/>
        <v/>
      </c>
      <c r="I224" s="272" t="str">
        <f t="shared" si="91"/>
        <v/>
      </c>
      <c r="J224" s="277" t="str">
        <f>IF(J223="","",J223)</f>
        <v/>
      </c>
      <c r="K224" s="564"/>
      <c r="L224" s="566"/>
      <c r="M224" s="600"/>
      <c r="N224" s="601"/>
      <c r="O224" s="255" t="str">
        <f t="shared" si="88"/>
        <v/>
      </c>
      <c r="P224" s="258" t="str">
        <f t="shared" si="83"/>
        <v/>
      </c>
      <c r="Q224" s="270" t="str">
        <f t="shared" si="84"/>
        <v/>
      </c>
      <c r="R224" s="270" t="str">
        <f t="shared" si="89"/>
        <v/>
      </c>
      <c r="S224" s="340" t="str">
        <f t="shared" si="93"/>
        <v/>
      </c>
      <c r="T224" s="275" t="str">
        <f t="shared" si="85"/>
        <v/>
      </c>
      <c r="U224" s="559" t="str">
        <f t="shared" si="86"/>
        <v/>
      </c>
      <c r="V224" s="560"/>
      <c r="W224" s="562"/>
    </row>
    <row r="225" spans="3:25" ht="15.95" customHeight="1">
      <c r="C225" s="263"/>
      <c r="D225" s="554"/>
      <c r="E225" s="555" t="s">
        <v>447</v>
      </c>
      <c r="F225" s="536"/>
      <c r="G225" s="271" t="str">
        <f t="shared" ref="G225" si="134">IF(D225="","",D225)</f>
        <v/>
      </c>
      <c r="H225" s="258" t="str">
        <f t="shared" si="87"/>
        <v/>
      </c>
      <c r="I225" s="272" t="str">
        <f t="shared" si="91"/>
        <v/>
      </c>
      <c r="J225" s="273"/>
      <c r="K225" s="563"/>
      <c r="L225" s="565" t="str">
        <f t="shared" ref="L225" si="135">IF(C225="","","D-13")</f>
        <v/>
      </c>
      <c r="M225" s="600"/>
      <c r="N225" s="601"/>
      <c r="O225" s="255" t="str">
        <f t="shared" si="88"/>
        <v/>
      </c>
      <c r="P225" s="258" t="str">
        <f t="shared" si="83"/>
        <v/>
      </c>
      <c r="Q225" s="270" t="str">
        <f t="shared" si="84"/>
        <v/>
      </c>
      <c r="R225" s="270" t="str">
        <f t="shared" si="89"/>
        <v/>
      </c>
      <c r="S225" s="340" t="str">
        <f t="shared" si="93"/>
        <v/>
      </c>
      <c r="T225" s="275" t="str">
        <f t="shared" si="85"/>
        <v/>
      </c>
      <c r="U225" s="559" t="str">
        <f t="shared" si="86"/>
        <v/>
      </c>
      <c r="V225" s="560"/>
      <c r="W225" s="561" t="str">
        <f>IF(C225="","",IF($I$91="布",IF(AND(K225&gt;=S225,K225&gt;=S226,$M$152&gt;=U225,$M$152&gt;=U226),"OK","NG"),IF($I$91="ベタ",IF(AND(K225&gt;=S225,K225&gt;=S226),"OK","NG"))))</f>
        <v/>
      </c>
    </row>
    <row r="226" spans="3:25" ht="15.95" customHeight="1">
      <c r="C226" s="336" t="str">
        <f>IF(C225="","",C225)</f>
        <v/>
      </c>
      <c r="D226" s="554"/>
      <c r="E226" s="555"/>
      <c r="F226" s="536"/>
      <c r="G226" s="271" t="str">
        <f t="shared" ref="G226" si="136">IF(F225="","",F225)</f>
        <v/>
      </c>
      <c r="H226" s="258" t="str">
        <f t="shared" si="87"/>
        <v/>
      </c>
      <c r="I226" s="272" t="str">
        <f t="shared" si="91"/>
        <v/>
      </c>
      <c r="J226" s="277" t="str">
        <f>IF(J225="","",J225)</f>
        <v/>
      </c>
      <c r="K226" s="564"/>
      <c r="L226" s="566"/>
      <c r="M226" s="600"/>
      <c r="N226" s="601"/>
      <c r="O226" s="255" t="str">
        <f t="shared" si="88"/>
        <v/>
      </c>
      <c r="P226" s="258" t="str">
        <f t="shared" si="83"/>
        <v/>
      </c>
      <c r="Q226" s="270" t="str">
        <f t="shared" si="84"/>
        <v/>
      </c>
      <c r="R226" s="270" t="str">
        <f t="shared" si="89"/>
        <v/>
      </c>
      <c r="S226" s="340" t="str">
        <f t="shared" si="93"/>
        <v/>
      </c>
      <c r="T226" s="275" t="str">
        <f t="shared" si="85"/>
        <v/>
      </c>
      <c r="U226" s="559" t="str">
        <f t="shared" si="86"/>
        <v/>
      </c>
      <c r="V226" s="560"/>
      <c r="W226" s="562"/>
    </row>
    <row r="227" spans="3:25" ht="15.95" customHeight="1">
      <c r="C227" s="263"/>
      <c r="D227" s="554"/>
      <c r="E227" s="555" t="s">
        <v>447</v>
      </c>
      <c r="F227" s="536"/>
      <c r="G227" s="271" t="str">
        <f t="shared" ref="G227" si="137">IF(D227="","",D227)</f>
        <v/>
      </c>
      <c r="H227" s="258" t="str">
        <f t="shared" si="87"/>
        <v/>
      </c>
      <c r="I227" s="272" t="str">
        <f t="shared" si="91"/>
        <v/>
      </c>
      <c r="J227" s="273"/>
      <c r="K227" s="563"/>
      <c r="L227" s="565" t="str">
        <f t="shared" ref="L227" si="138">IF(C227="","","D-13")</f>
        <v/>
      </c>
      <c r="M227" s="600"/>
      <c r="N227" s="601"/>
      <c r="O227" s="255" t="str">
        <f t="shared" si="88"/>
        <v/>
      </c>
      <c r="P227" s="258" t="str">
        <f t="shared" si="83"/>
        <v/>
      </c>
      <c r="Q227" s="270" t="str">
        <f t="shared" si="84"/>
        <v/>
      </c>
      <c r="R227" s="270" t="str">
        <f t="shared" si="89"/>
        <v/>
      </c>
      <c r="S227" s="340" t="str">
        <f t="shared" si="93"/>
        <v/>
      </c>
      <c r="T227" s="275" t="str">
        <f t="shared" si="85"/>
        <v/>
      </c>
      <c r="U227" s="559" t="str">
        <f t="shared" si="86"/>
        <v/>
      </c>
      <c r="V227" s="560"/>
      <c r="W227" s="561" t="str">
        <f>IF(C227="","",IF($I$91="布",IF(AND(K227&gt;=S227,K227&gt;=S228,$M$152&gt;=U227,$M$152&gt;=U228),"OK","NG"),IF($I$91="ベタ",IF(AND(K227&gt;=S227,K227&gt;=S228),"OK","NG"))))</f>
        <v/>
      </c>
    </row>
    <row r="228" spans="3:25" ht="13.5" customHeight="1">
      <c r="C228" s="336" t="str">
        <f>IF(C227="","",C227)</f>
        <v/>
      </c>
      <c r="D228" s="554"/>
      <c r="E228" s="555"/>
      <c r="F228" s="536"/>
      <c r="G228" s="271" t="str">
        <f t="shared" ref="G228" si="139">IF(F227="","",F227)</f>
        <v/>
      </c>
      <c r="H228" s="258" t="str">
        <f t="shared" si="87"/>
        <v/>
      </c>
      <c r="I228" s="272" t="str">
        <f t="shared" si="91"/>
        <v/>
      </c>
      <c r="J228" s="277" t="str">
        <f>IF(J227="","",J227)</f>
        <v/>
      </c>
      <c r="K228" s="564"/>
      <c r="L228" s="566"/>
      <c r="M228" s="602"/>
      <c r="N228" s="603"/>
      <c r="O228" s="255" t="str">
        <f t="shared" si="88"/>
        <v/>
      </c>
      <c r="P228" s="258" t="str">
        <f t="shared" si="83"/>
        <v/>
      </c>
      <c r="Q228" s="270" t="str">
        <f t="shared" si="84"/>
        <v/>
      </c>
      <c r="R228" s="270" t="str">
        <f t="shared" si="89"/>
        <v/>
      </c>
      <c r="S228" s="340" t="str">
        <f t="shared" si="93"/>
        <v/>
      </c>
      <c r="T228" s="275" t="str">
        <f t="shared" si="85"/>
        <v/>
      </c>
      <c r="U228" s="559" t="str">
        <f t="shared" si="86"/>
        <v/>
      </c>
      <c r="V228" s="560"/>
      <c r="W228" s="562"/>
    </row>
    <row r="229" spans="3:25" ht="13.5" customHeight="1"/>
    <row r="230" spans="3:25" ht="13.5" customHeight="1"/>
    <row r="231" spans="3:25" ht="13.5" customHeight="1"/>
    <row r="232" spans="3:25" ht="13.5" customHeight="1"/>
    <row r="233" spans="3:25" ht="13.5" customHeight="1"/>
    <row r="234" spans="3:25" ht="13.5" customHeight="1">
      <c r="C234" s="158" t="s">
        <v>509</v>
      </c>
      <c r="Y234" s="158" t="b">
        <f>IF($I$91="布",1,IF($I$91="独立",1))</f>
        <v>0</v>
      </c>
    </row>
    <row r="235" spans="3:25" ht="13.5" customHeight="1">
      <c r="C235" s="541" t="s">
        <v>382</v>
      </c>
      <c r="D235" s="542"/>
      <c r="E235" s="542"/>
      <c r="F235" s="543"/>
      <c r="G235" s="552" t="s">
        <v>464</v>
      </c>
      <c r="H235" s="552"/>
      <c r="I235" s="552"/>
      <c r="J235" s="541" t="s">
        <v>354</v>
      </c>
      <c r="K235" s="542"/>
      <c r="L235" s="542"/>
      <c r="M235" s="543"/>
      <c r="N235" s="541" t="s">
        <v>521</v>
      </c>
      <c r="O235" s="542"/>
      <c r="P235" s="542"/>
      <c r="Q235" s="542"/>
      <c r="R235" s="543"/>
      <c r="S235" s="544" t="s">
        <v>465</v>
      </c>
      <c r="Y235" s="158" t="b">
        <f>IF($I$91="ベタ",2,IF($I$91="独立",2))</f>
        <v>0</v>
      </c>
    </row>
    <row r="236" spans="3:25" ht="13.5" customHeight="1">
      <c r="C236" s="541"/>
      <c r="D236" s="542"/>
      <c r="E236" s="542"/>
      <c r="F236" s="543"/>
      <c r="G236" s="553"/>
      <c r="H236" s="553"/>
      <c r="I236" s="553"/>
      <c r="J236" s="282" t="s">
        <v>466</v>
      </c>
      <c r="K236" s="291" t="s">
        <v>392</v>
      </c>
      <c r="L236" s="547" t="s">
        <v>467</v>
      </c>
      <c r="M236" s="548"/>
      <c r="N236" s="551" t="str">
        <f>IF(I91="布","",IF(I91="独立","","該当P"))</f>
        <v>該当P</v>
      </c>
      <c r="O236" s="291" t="s">
        <v>466</v>
      </c>
      <c r="P236" s="282" t="s">
        <v>392</v>
      </c>
      <c r="Q236" s="547" t="s">
        <v>467</v>
      </c>
      <c r="R236" s="548"/>
      <c r="S236" s="545"/>
      <c r="Y236" s="158" t="b">
        <f>IF($I$91="独立",3)</f>
        <v>0</v>
      </c>
    </row>
    <row r="237" spans="3:25">
      <c r="C237" s="541"/>
      <c r="D237" s="542"/>
      <c r="E237" s="542"/>
      <c r="F237" s="543"/>
      <c r="G237" s="553"/>
      <c r="H237" s="553"/>
      <c r="I237" s="553"/>
      <c r="J237" s="282" t="s">
        <v>468</v>
      </c>
      <c r="K237" s="289" t="s">
        <v>468</v>
      </c>
      <c r="L237" s="549"/>
      <c r="M237" s="550"/>
      <c r="N237" s="551"/>
      <c r="O237" s="289" t="s">
        <v>468</v>
      </c>
      <c r="P237" s="282" t="s">
        <v>468</v>
      </c>
      <c r="Q237" s="549"/>
      <c r="R237" s="550"/>
      <c r="S237" s="546"/>
    </row>
    <row r="238" spans="3:25">
      <c r="C238" s="266"/>
      <c r="D238" s="278" t="s">
        <v>369</v>
      </c>
      <c r="E238" s="535"/>
      <c r="F238" s="536"/>
      <c r="G238" s="534" t="s">
        <v>296</v>
      </c>
      <c r="H238" s="534"/>
      <c r="I238" s="534"/>
      <c r="J238" s="537"/>
      <c r="K238" s="537"/>
      <c r="L238" s="538"/>
      <c r="M238" s="534"/>
      <c r="N238" s="539" t="str">
        <f>IF(G238="4辺固定","P103",IF(G238="2辺隣ピン","P104",IF(G238="1辺ピン","P105",IF(G238="3辺ピン","P106",""))))</f>
        <v/>
      </c>
      <c r="O238" s="540" t="str">
        <f>IF(J238="","",IF(J238&lt;=0.985,0.985,IF(J238&lt;=1.97,1.97,IF(J238&lt;=2.4625,2.4625,IF(J238&lt;=2.955,2.955,IF(J238&lt;=3.4475,3.4475,IF(J238&lt;=3.94,3.94,IF(J238&lt;=4.4325,4.4325,IF(J238&lt;=4.925,4.925,"NG")))))))))</f>
        <v/>
      </c>
      <c r="P238" s="540" t="str">
        <f>IF(K238="","",IF(K238&lt;=0.985,0.985,IF(K238&lt;=1.97,1.97,IF(K238&lt;=2.4625,2.4625,IF(K238&lt;=2.955,2.955,IF(K238&lt;=3.4475,3.4475,IF(K238&lt;=3.94,3.94,IF(K238&lt;=4.4325,4.4325,IF(K238&lt;=4.925,4.925,"NG")))))))))</f>
        <v/>
      </c>
      <c r="Q238" s="534"/>
      <c r="R238" s="534"/>
      <c r="S238" s="534"/>
    </row>
    <row r="239" spans="3:25">
      <c r="C239" s="266"/>
      <c r="D239" s="278" t="s">
        <v>369</v>
      </c>
      <c r="E239" s="535"/>
      <c r="F239" s="536"/>
      <c r="G239" s="534"/>
      <c r="H239" s="534"/>
      <c r="I239" s="534"/>
      <c r="J239" s="537"/>
      <c r="K239" s="537"/>
      <c r="L239" s="534"/>
      <c r="M239" s="534"/>
      <c r="N239" s="539"/>
      <c r="O239" s="540"/>
      <c r="P239" s="540"/>
      <c r="Q239" s="534"/>
      <c r="R239" s="534"/>
      <c r="S239" s="534"/>
    </row>
    <row r="240" spans="3:25">
      <c r="C240" s="266"/>
      <c r="D240" s="278" t="s">
        <v>369</v>
      </c>
      <c r="E240" s="535"/>
      <c r="F240" s="536"/>
      <c r="G240" s="534" t="s">
        <v>296</v>
      </c>
      <c r="H240" s="534"/>
      <c r="I240" s="534"/>
      <c r="J240" s="537"/>
      <c r="K240" s="537"/>
      <c r="L240" s="538"/>
      <c r="M240" s="534"/>
      <c r="N240" s="539" t="str">
        <f t="shared" ref="N240" si="140">IF(G240="4辺固定","P103",IF(G240="2辺隣ピン","P104",IF(G240="1辺ピン","P105",IF(G240="3辺ピン","P106",""))))</f>
        <v/>
      </c>
      <c r="O240" s="540" t="str">
        <f t="shared" ref="O240:P240" si="141">IF(J240="","",IF(J240&lt;=0.985,0.985,IF(J240&lt;=1.97,1.97,IF(J240&lt;=2.4625,2.4625,IF(J240&lt;=2.955,2.955,IF(J240&lt;=3.4475,3.4475,IF(J240&lt;=3.94,3.94,IF(J240&lt;=4.4325,4.4325,IF(J240&lt;=4.925,4.925,"NG")))))))))</f>
        <v/>
      </c>
      <c r="P240" s="540" t="str">
        <f t="shared" si="141"/>
        <v/>
      </c>
      <c r="Q240" s="538"/>
      <c r="R240" s="534"/>
      <c r="S240" s="534"/>
    </row>
    <row r="241" spans="3:19">
      <c r="C241" s="259"/>
      <c r="D241" s="278" t="s">
        <v>369</v>
      </c>
      <c r="E241" s="535"/>
      <c r="F241" s="536"/>
      <c r="G241" s="534"/>
      <c r="H241" s="534"/>
      <c r="I241" s="534"/>
      <c r="J241" s="537"/>
      <c r="K241" s="537"/>
      <c r="L241" s="534"/>
      <c r="M241" s="534"/>
      <c r="N241" s="539"/>
      <c r="O241" s="540"/>
      <c r="P241" s="540"/>
      <c r="Q241" s="534"/>
      <c r="R241" s="534"/>
      <c r="S241" s="534"/>
    </row>
    <row r="242" spans="3:19">
      <c r="C242" s="266"/>
      <c r="D242" s="278" t="s">
        <v>369</v>
      </c>
      <c r="E242" s="535"/>
      <c r="F242" s="536"/>
      <c r="G242" s="534" t="s">
        <v>296</v>
      </c>
      <c r="H242" s="534"/>
      <c r="I242" s="534"/>
      <c r="J242" s="537"/>
      <c r="K242" s="537"/>
      <c r="L242" s="538"/>
      <c r="M242" s="534"/>
      <c r="N242" s="539" t="str">
        <f t="shared" ref="N242" si="142">IF(G242="4辺固定","P103",IF(G242="2辺隣ピン","P104",IF(G242="1辺ピン","P105",IF(G242="3辺ピン","P106",""))))</f>
        <v/>
      </c>
      <c r="O242" s="540" t="str">
        <f t="shared" ref="O242:P242" si="143">IF(J242="","",IF(J242&lt;=0.985,0.985,IF(J242&lt;=1.97,1.97,IF(J242&lt;=2.4625,2.4625,IF(J242&lt;=2.955,2.955,IF(J242&lt;=3.4475,3.4475,IF(J242&lt;=3.94,3.94,IF(J242&lt;=4.4325,4.4325,IF(J242&lt;=4.925,4.925,"NG")))))))))</f>
        <v/>
      </c>
      <c r="P242" s="540" t="str">
        <f t="shared" si="143"/>
        <v/>
      </c>
      <c r="Q242" s="538"/>
      <c r="R242" s="534"/>
      <c r="S242" s="534"/>
    </row>
    <row r="243" spans="3:19">
      <c r="C243" s="259"/>
      <c r="D243" s="278" t="s">
        <v>369</v>
      </c>
      <c r="E243" s="535"/>
      <c r="F243" s="536"/>
      <c r="G243" s="534"/>
      <c r="H243" s="534"/>
      <c r="I243" s="534"/>
      <c r="J243" s="537"/>
      <c r="K243" s="537"/>
      <c r="L243" s="534"/>
      <c r="M243" s="534"/>
      <c r="N243" s="539"/>
      <c r="O243" s="540"/>
      <c r="P243" s="540"/>
      <c r="Q243" s="534"/>
      <c r="R243" s="534"/>
      <c r="S243" s="534"/>
    </row>
    <row r="244" spans="3:19">
      <c r="C244" s="266"/>
      <c r="D244" s="278" t="s">
        <v>369</v>
      </c>
      <c r="E244" s="535"/>
      <c r="F244" s="536"/>
      <c r="G244" s="534" t="s">
        <v>296</v>
      </c>
      <c r="H244" s="534"/>
      <c r="I244" s="534"/>
      <c r="J244" s="537"/>
      <c r="K244" s="537"/>
      <c r="L244" s="538"/>
      <c r="M244" s="534"/>
      <c r="N244" s="539" t="str">
        <f t="shared" ref="N244" si="144">IF(G244="4辺固定","P103",IF(G244="2辺隣ピン","P104",IF(G244="1辺ピン","P105",IF(G244="3辺ピン","P106",""))))</f>
        <v/>
      </c>
      <c r="O244" s="540" t="str">
        <f>IF(J244="","",IF(J244&lt;=0.985,0.985,IF(J244&lt;=1.97,1.97,IF(J244&lt;=2.4625,2.4625,IF(J244&lt;=2.955,2.955,IF(J244&lt;=3.4475,3.4475,IF(J244&lt;=3.94,3.94,IF(J244&lt;=4.4325,4.4325,IF(J244&lt;=4.925,4.925,"NG")))))))))</f>
        <v/>
      </c>
      <c r="P244" s="540" t="str">
        <f t="shared" ref="P244" si="145">IF(K244="","",IF(K244&lt;=0.985,0.985,IF(K244&lt;=1.97,1.97,IF(K244&lt;=2.4625,2.4625,IF(K244&lt;=2.955,2.955,IF(K244&lt;=3.4475,3.4475,IF(K244&lt;=3.94,3.94,IF(K244&lt;=4.4325,4.4325,IF(K244&lt;=4.925,4.925,"NG")))))))))</f>
        <v/>
      </c>
      <c r="Q244" s="538"/>
      <c r="R244" s="534"/>
      <c r="S244" s="534"/>
    </row>
    <row r="245" spans="3:19">
      <c r="C245" s="259"/>
      <c r="D245" s="278" t="s">
        <v>369</v>
      </c>
      <c r="E245" s="535"/>
      <c r="F245" s="536"/>
      <c r="G245" s="534"/>
      <c r="H245" s="534"/>
      <c r="I245" s="534"/>
      <c r="J245" s="537"/>
      <c r="K245" s="537"/>
      <c r="L245" s="534"/>
      <c r="M245" s="534"/>
      <c r="N245" s="539"/>
      <c r="O245" s="540"/>
      <c r="P245" s="540"/>
      <c r="Q245" s="534"/>
      <c r="R245" s="534"/>
      <c r="S245" s="534"/>
    </row>
    <row r="246" spans="3:19">
      <c r="C246" s="266"/>
      <c r="D246" s="278" t="s">
        <v>369</v>
      </c>
      <c r="E246" s="535"/>
      <c r="F246" s="536"/>
      <c r="G246" s="534" t="s">
        <v>296</v>
      </c>
      <c r="H246" s="534"/>
      <c r="I246" s="534"/>
      <c r="J246" s="537"/>
      <c r="K246" s="537"/>
      <c r="L246" s="538"/>
      <c r="M246" s="534"/>
      <c r="N246" s="539" t="str">
        <f t="shared" ref="N246:N248" si="146">IF(G246="4辺固定","P103",IF(G246="2辺隣ピン","P104",IF(G246="1辺ピン","P105",IF(G246="3辺ピン","P106",""))))</f>
        <v/>
      </c>
      <c r="O246" s="540" t="str">
        <f t="shared" ref="O246:P246" si="147">IF(J246="","",IF(J246&lt;=0.985,0.985,IF(J246&lt;=1.97,1.97,IF(J246&lt;=2.4625,2.4625,IF(J246&lt;=2.955,2.955,IF(J246&lt;=3.4475,3.4475,IF(J246&lt;=3.94,3.94,IF(J246&lt;=4.4325,4.4325,IF(J246&lt;=4.925,4.925,"NG")))))))))</f>
        <v/>
      </c>
      <c r="P246" s="540" t="str">
        <f t="shared" si="147"/>
        <v/>
      </c>
      <c r="Q246" s="538"/>
      <c r="R246" s="534"/>
      <c r="S246" s="534"/>
    </row>
    <row r="247" spans="3:19">
      <c r="C247" s="259"/>
      <c r="D247" s="278" t="s">
        <v>369</v>
      </c>
      <c r="E247" s="535"/>
      <c r="F247" s="536"/>
      <c r="G247" s="534"/>
      <c r="H247" s="534"/>
      <c r="I247" s="534"/>
      <c r="J247" s="537"/>
      <c r="K247" s="537"/>
      <c r="L247" s="534"/>
      <c r="M247" s="534"/>
      <c r="N247" s="539"/>
      <c r="O247" s="540"/>
      <c r="P247" s="540"/>
      <c r="Q247" s="534"/>
      <c r="R247" s="534"/>
      <c r="S247" s="534"/>
    </row>
    <row r="248" spans="3:19">
      <c r="C248" s="266"/>
      <c r="D248" s="278" t="s">
        <v>369</v>
      </c>
      <c r="E248" s="535"/>
      <c r="F248" s="536"/>
      <c r="G248" s="534" t="s">
        <v>591</v>
      </c>
      <c r="H248" s="534"/>
      <c r="I248" s="534"/>
      <c r="J248" s="537"/>
      <c r="K248" s="537"/>
      <c r="L248" s="538"/>
      <c r="M248" s="534"/>
      <c r="N248" s="539" t="str">
        <f t="shared" si="146"/>
        <v/>
      </c>
      <c r="O248" s="540" t="str">
        <f t="shared" ref="O248:P248" si="148">IF(J248="","",IF(J248&lt;=0.985,0.985,IF(J248&lt;=1.97,1.97,IF(J248&lt;=2.4625,2.4625,IF(J248&lt;=2.955,2.955,IF(J248&lt;=3.4475,3.4475,IF(J248&lt;=3.94,3.94,IF(J248&lt;=4.4325,4.4325,IF(J248&lt;=4.925,4.925,"NG")))))))))</f>
        <v/>
      </c>
      <c r="P248" s="540" t="str">
        <f t="shared" si="148"/>
        <v/>
      </c>
      <c r="Q248" s="538"/>
      <c r="R248" s="534"/>
      <c r="S248" s="534"/>
    </row>
    <row r="249" spans="3:19">
      <c r="C249" s="259"/>
      <c r="D249" s="278" t="s">
        <v>369</v>
      </c>
      <c r="E249" s="535"/>
      <c r="F249" s="536"/>
      <c r="G249" s="534"/>
      <c r="H249" s="534"/>
      <c r="I249" s="534"/>
      <c r="J249" s="537"/>
      <c r="K249" s="537"/>
      <c r="L249" s="534"/>
      <c r="M249" s="534"/>
      <c r="N249" s="539"/>
      <c r="O249" s="540"/>
      <c r="P249" s="540"/>
      <c r="Q249" s="534"/>
      <c r="R249" s="534"/>
      <c r="S249" s="534"/>
    </row>
    <row r="250" spans="3:19">
      <c r="C250" s="266"/>
      <c r="D250" s="278" t="s">
        <v>369</v>
      </c>
      <c r="E250" s="535"/>
      <c r="F250" s="536"/>
      <c r="G250" s="534" t="s">
        <v>296</v>
      </c>
      <c r="H250" s="534"/>
      <c r="I250" s="534"/>
      <c r="J250" s="537"/>
      <c r="K250" s="537"/>
      <c r="L250" s="538"/>
      <c r="M250" s="534"/>
      <c r="N250" s="539" t="str">
        <f>IF(G250="4辺固定","P103",IF(G250="2辺隣ピン","P104",IF(G250="1辺ピン","P105",IF(G250="3辺ピン","P106",""))))</f>
        <v/>
      </c>
      <c r="O250" s="540" t="str">
        <f t="shared" ref="O250:P250" si="149">IF(J250="","",IF(J250&lt;=0.985,0.985,IF(J250&lt;=1.97,1.97,IF(J250&lt;=2.4625,2.4625,IF(J250&lt;=2.955,2.955,IF(J250&lt;=3.4475,3.4475,IF(J250&lt;=3.94,3.94,IF(J250&lt;=4.4325,4.4325,IF(J250&lt;=4.925,4.925,"NG")))))))))</f>
        <v/>
      </c>
      <c r="P250" s="540" t="str">
        <f t="shared" si="149"/>
        <v/>
      </c>
      <c r="Q250" s="538"/>
      <c r="R250" s="534"/>
      <c r="S250" s="534"/>
    </row>
    <row r="251" spans="3:19">
      <c r="C251" s="259"/>
      <c r="D251" s="278" t="s">
        <v>369</v>
      </c>
      <c r="E251" s="535"/>
      <c r="F251" s="536"/>
      <c r="G251" s="534"/>
      <c r="H251" s="534"/>
      <c r="I251" s="534"/>
      <c r="J251" s="537"/>
      <c r="K251" s="537"/>
      <c r="L251" s="534"/>
      <c r="M251" s="534"/>
      <c r="N251" s="539"/>
      <c r="O251" s="540"/>
      <c r="P251" s="540"/>
      <c r="Q251" s="534"/>
      <c r="R251" s="534"/>
      <c r="S251" s="534"/>
    </row>
    <row r="252" spans="3:19">
      <c r="C252" s="338"/>
      <c r="D252" s="339" t="s">
        <v>369</v>
      </c>
      <c r="E252" s="535"/>
      <c r="F252" s="536"/>
      <c r="G252" s="534" t="s">
        <v>296</v>
      </c>
      <c r="H252" s="534"/>
      <c r="I252" s="534"/>
      <c r="J252" s="537"/>
      <c r="K252" s="537"/>
      <c r="L252" s="538"/>
      <c r="M252" s="534"/>
      <c r="N252" s="539" t="str">
        <f>IF(G252="4辺固定","P103",IF(G252="2辺隣ピン","P104",IF(G252="1辺ピン","P105",IF(G252="3辺ピン","P106",""))))</f>
        <v/>
      </c>
      <c r="O252" s="540" t="str">
        <f t="shared" ref="O252" si="150">IF(J252="","",IF(J252&lt;=0.985,0.985,IF(J252&lt;=1.97,1.97,IF(J252&lt;=2.4625,2.4625,IF(J252&lt;=2.955,2.955,IF(J252&lt;=3.4475,3.4475,IF(J252&lt;=3.94,3.94,IF(J252&lt;=4.4325,4.4325,IF(J252&lt;=4.925,4.925,"NG")))))))))</f>
        <v/>
      </c>
      <c r="P252" s="540" t="str">
        <f t="shared" ref="P252" si="151">IF(K252="","",IF(K252&lt;=0.985,0.985,IF(K252&lt;=1.97,1.97,IF(K252&lt;=2.4625,2.4625,IF(K252&lt;=2.955,2.955,IF(K252&lt;=3.4475,3.4475,IF(K252&lt;=3.94,3.94,IF(K252&lt;=4.4325,4.4325,IF(K252&lt;=4.925,4.925,"NG")))))))))</f>
        <v/>
      </c>
      <c r="Q252" s="538"/>
      <c r="R252" s="534"/>
      <c r="S252" s="534"/>
    </row>
    <row r="253" spans="3:19">
      <c r="C253" s="259"/>
      <c r="D253" s="339" t="s">
        <v>369</v>
      </c>
      <c r="E253" s="535"/>
      <c r="F253" s="536"/>
      <c r="G253" s="534"/>
      <c r="H253" s="534"/>
      <c r="I253" s="534"/>
      <c r="J253" s="537"/>
      <c r="K253" s="537"/>
      <c r="L253" s="534"/>
      <c r="M253" s="534"/>
      <c r="N253" s="539"/>
      <c r="O253" s="540"/>
      <c r="P253" s="540"/>
      <c r="Q253" s="534"/>
      <c r="R253" s="534"/>
      <c r="S253" s="534"/>
    </row>
    <row r="254" spans="3:19">
      <c r="C254" s="338"/>
      <c r="D254" s="339" t="s">
        <v>369</v>
      </c>
      <c r="E254" s="535"/>
      <c r="F254" s="536"/>
      <c r="G254" s="534" t="s">
        <v>296</v>
      </c>
      <c r="H254" s="534"/>
      <c r="I254" s="534"/>
      <c r="J254" s="537"/>
      <c r="K254" s="537"/>
      <c r="L254" s="538"/>
      <c r="M254" s="534"/>
      <c r="N254" s="539" t="str">
        <f>IF(G254="4辺固定","P103",IF(G254="2辺隣ピン","P104",IF(G254="1辺ピン","P105",IF(G254="3辺ピン","P106",""))))</f>
        <v/>
      </c>
      <c r="O254" s="540" t="str">
        <f t="shared" ref="O254" si="152">IF(J254="","",IF(J254&lt;=0.985,0.985,IF(J254&lt;=1.97,1.97,IF(J254&lt;=2.4625,2.4625,IF(J254&lt;=2.955,2.955,IF(J254&lt;=3.4475,3.4475,IF(J254&lt;=3.94,3.94,IF(J254&lt;=4.4325,4.4325,IF(J254&lt;=4.925,4.925,"NG")))))))))</f>
        <v/>
      </c>
      <c r="P254" s="540" t="str">
        <f t="shared" ref="P254" si="153">IF(K254="","",IF(K254&lt;=0.985,0.985,IF(K254&lt;=1.97,1.97,IF(K254&lt;=2.4625,2.4625,IF(K254&lt;=2.955,2.955,IF(K254&lt;=3.4475,3.4475,IF(K254&lt;=3.94,3.94,IF(K254&lt;=4.4325,4.4325,IF(K254&lt;=4.925,4.925,"NG")))))))))</f>
        <v/>
      </c>
      <c r="Q254" s="538"/>
      <c r="R254" s="534"/>
      <c r="S254" s="534"/>
    </row>
    <row r="255" spans="3:19">
      <c r="C255" s="259"/>
      <c r="D255" s="339" t="s">
        <v>369</v>
      </c>
      <c r="E255" s="535"/>
      <c r="F255" s="536"/>
      <c r="G255" s="534"/>
      <c r="H255" s="534"/>
      <c r="I255" s="534"/>
      <c r="J255" s="537"/>
      <c r="K255" s="537"/>
      <c r="L255" s="534"/>
      <c r="M255" s="534"/>
      <c r="N255" s="539"/>
      <c r="O255" s="540"/>
      <c r="P255" s="540"/>
      <c r="Q255" s="534"/>
      <c r="R255" s="534"/>
      <c r="S255" s="534"/>
    </row>
    <row r="256" spans="3:19">
      <c r="C256" s="338"/>
      <c r="D256" s="339" t="s">
        <v>369</v>
      </c>
      <c r="E256" s="535"/>
      <c r="F256" s="536"/>
      <c r="G256" s="534" t="s">
        <v>296</v>
      </c>
      <c r="H256" s="534"/>
      <c r="I256" s="534"/>
      <c r="J256" s="537"/>
      <c r="K256" s="537"/>
      <c r="L256" s="538"/>
      <c r="M256" s="534"/>
      <c r="N256" s="539" t="str">
        <f t="shared" ref="N256" si="154">IF(G256="4辺固定","P103",IF(G256="2辺隣ピン","P104",IF(G256="1辺ピン","P105",IF(G256="3辺ピン","P106",""))))</f>
        <v/>
      </c>
      <c r="O256" s="540" t="str">
        <f>IF(J256="","",IF(J256&lt;=0.985,0.985,IF(J256&lt;=1.97,1.97,IF(J256&lt;=2.4625,2.4625,IF(J256&lt;=2.955,2.955,IF(J256&lt;=3.4475,3.4475,IF(J256&lt;=3.94,3.94,IF(J256&lt;=4.4325,4.4325,IF(J256&lt;=4.925,4.925,"NG")))))))))</f>
        <v/>
      </c>
      <c r="P256" s="540" t="str">
        <f t="shared" ref="P256" si="155">IF(K256="","",IF(K256&lt;=0.985,0.985,IF(K256&lt;=1.97,1.97,IF(K256&lt;=2.4625,2.4625,IF(K256&lt;=2.955,2.955,IF(K256&lt;=3.4475,3.4475,IF(K256&lt;=3.94,3.94,IF(K256&lt;=4.4325,4.4325,IF(K256&lt;=4.925,4.925,"NG")))))))))</f>
        <v/>
      </c>
      <c r="Q256" s="538"/>
      <c r="R256" s="534"/>
      <c r="S256" s="534"/>
    </row>
    <row r="257" spans="3:19">
      <c r="C257" s="259"/>
      <c r="D257" s="339" t="s">
        <v>369</v>
      </c>
      <c r="E257" s="535"/>
      <c r="F257" s="536"/>
      <c r="G257" s="534"/>
      <c r="H257" s="534"/>
      <c r="I257" s="534"/>
      <c r="J257" s="537"/>
      <c r="K257" s="537"/>
      <c r="L257" s="534"/>
      <c r="M257" s="534"/>
      <c r="N257" s="539"/>
      <c r="O257" s="540"/>
      <c r="P257" s="540"/>
      <c r="Q257" s="534"/>
      <c r="R257" s="534"/>
      <c r="S257" s="534"/>
    </row>
    <row r="258" spans="3:19">
      <c r="C258" s="338"/>
      <c r="D258" s="339" t="s">
        <v>369</v>
      </c>
      <c r="E258" s="535"/>
      <c r="F258" s="536"/>
      <c r="G258" s="534" t="s">
        <v>296</v>
      </c>
      <c r="H258" s="534"/>
      <c r="I258" s="534"/>
      <c r="J258" s="537"/>
      <c r="K258" s="537"/>
      <c r="L258" s="538"/>
      <c r="M258" s="534"/>
      <c r="N258" s="539" t="str">
        <f t="shared" ref="N258" si="156">IF(G258="4辺固定","P103",IF(G258="2辺隣ピン","P104",IF(G258="1辺ピン","P105",IF(G258="3辺ピン","P106",""))))</f>
        <v/>
      </c>
      <c r="O258" s="540" t="str">
        <f t="shared" ref="O258" si="157">IF(J258="","",IF(J258&lt;=0.985,0.985,IF(J258&lt;=1.97,1.97,IF(J258&lt;=2.4625,2.4625,IF(J258&lt;=2.955,2.955,IF(J258&lt;=3.4475,3.4475,IF(J258&lt;=3.94,3.94,IF(J258&lt;=4.4325,4.4325,IF(J258&lt;=4.925,4.925,"NG")))))))))</f>
        <v/>
      </c>
      <c r="P258" s="540" t="str">
        <f t="shared" ref="P258" si="158">IF(K258="","",IF(K258&lt;=0.985,0.985,IF(K258&lt;=1.97,1.97,IF(K258&lt;=2.4625,2.4625,IF(K258&lt;=2.955,2.955,IF(K258&lt;=3.4475,3.4475,IF(K258&lt;=3.94,3.94,IF(K258&lt;=4.4325,4.4325,IF(K258&lt;=4.925,4.925,"NG")))))))))</f>
        <v/>
      </c>
      <c r="Q258" s="538"/>
      <c r="R258" s="534"/>
      <c r="S258" s="534"/>
    </row>
    <row r="259" spans="3:19">
      <c r="C259" s="259"/>
      <c r="D259" s="339" t="s">
        <v>369</v>
      </c>
      <c r="E259" s="535"/>
      <c r="F259" s="536"/>
      <c r="G259" s="534"/>
      <c r="H259" s="534"/>
      <c r="I259" s="534"/>
      <c r="J259" s="537"/>
      <c r="K259" s="537"/>
      <c r="L259" s="534"/>
      <c r="M259" s="534"/>
      <c r="N259" s="539"/>
      <c r="O259" s="540"/>
      <c r="P259" s="540"/>
      <c r="Q259" s="534"/>
      <c r="R259" s="534"/>
      <c r="S259" s="534"/>
    </row>
  </sheetData>
  <sheetProtection insertRows="0"/>
  <dataConsolidate/>
  <mergeCells count="865">
    <mergeCell ref="S27:T27"/>
    <mergeCell ref="U27:V27"/>
    <mergeCell ref="G28:H28"/>
    <mergeCell ref="J28:K28"/>
    <mergeCell ref="V128:W128"/>
    <mergeCell ref="V124:W124"/>
    <mergeCell ref="V120:W120"/>
    <mergeCell ref="U167:V167"/>
    <mergeCell ref="G61:H61"/>
    <mergeCell ref="G63:H63"/>
    <mergeCell ref="Q85:R85"/>
    <mergeCell ref="Q86:R86"/>
    <mergeCell ref="Q87:R87"/>
    <mergeCell ref="Q88:R88"/>
    <mergeCell ref="S95:U95"/>
    <mergeCell ref="S96:S97"/>
    <mergeCell ref="O149:R149"/>
    <mergeCell ref="L158:L159"/>
    <mergeCell ref="M149:N150"/>
    <mergeCell ref="G107:H107"/>
    <mergeCell ref="G108:H108"/>
    <mergeCell ref="G109:H109"/>
    <mergeCell ref="G110:H110"/>
    <mergeCell ref="G111:H111"/>
    <mergeCell ref="M51:N51"/>
    <mergeCell ref="M52:N52"/>
    <mergeCell ref="M53:N53"/>
    <mergeCell ref="E51:F51"/>
    <mergeCell ref="U34:U36"/>
    <mergeCell ref="C35:H35"/>
    <mergeCell ref="I35:I36"/>
    <mergeCell ref="M35:O35"/>
    <mergeCell ref="P35:P36"/>
    <mergeCell ref="R35:T35"/>
    <mergeCell ref="G36:H36"/>
    <mergeCell ref="G37:H37"/>
    <mergeCell ref="C45:F45"/>
    <mergeCell ref="G45:L45"/>
    <mergeCell ref="T45:T47"/>
    <mergeCell ref="G48:H48"/>
    <mergeCell ref="U48:V48"/>
    <mergeCell ref="G49:H49"/>
    <mergeCell ref="U49:V49"/>
    <mergeCell ref="D37:F37"/>
    <mergeCell ref="C46:D47"/>
    <mergeCell ref="C48:D48"/>
    <mergeCell ref="C49:D49"/>
    <mergeCell ref="D38:F38"/>
    <mergeCell ref="D227:D228"/>
    <mergeCell ref="E227:E228"/>
    <mergeCell ref="F227:F228"/>
    <mergeCell ref="K227:K228"/>
    <mergeCell ref="L227:L228"/>
    <mergeCell ref="U227:V227"/>
    <mergeCell ref="W227:W228"/>
    <mergeCell ref="U228:V228"/>
    <mergeCell ref="M195:N228"/>
    <mergeCell ref="U223:V223"/>
    <mergeCell ref="W223:W224"/>
    <mergeCell ref="U224:V224"/>
    <mergeCell ref="W219:W220"/>
    <mergeCell ref="U220:V220"/>
    <mergeCell ref="U221:V221"/>
    <mergeCell ref="W221:W222"/>
    <mergeCell ref="U222:V222"/>
    <mergeCell ref="U213:V213"/>
    <mergeCell ref="W213:W214"/>
    <mergeCell ref="U214:V214"/>
    <mergeCell ref="U215:V215"/>
    <mergeCell ref="W215:W216"/>
    <mergeCell ref="U216:V216"/>
    <mergeCell ref="U217:V217"/>
    <mergeCell ref="D213:D214"/>
    <mergeCell ref="E213:E214"/>
    <mergeCell ref="F213:F214"/>
    <mergeCell ref="K213:K214"/>
    <mergeCell ref="D209:D210"/>
    <mergeCell ref="E209:E210"/>
    <mergeCell ref="F209:F210"/>
    <mergeCell ref="K209:K210"/>
    <mergeCell ref="L209:L210"/>
    <mergeCell ref="L213:L214"/>
    <mergeCell ref="D211:D212"/>
    <mergeCell ref="E211:E212"/>
    <mergeCell ref="F211:F212"/>
    <mergeCell ref="K211:K212"/>
    <mergeCell ref="U211:V211"/>
    <mergeCell ref="W211:W212"/>
    <mergeCell ref="U212:V212"/>
    <mergeCell ref="U204:V204"/>
    <mergeCell ref="U195:V195"/>
    <mergeCell ref="W188:W189"/>
    <mergeCell ref="U189:V189"/>
    <mergeCell ref="U209:V209"/>
    <mergeCell ref="C51:D51"/>
    <mergeCell ref="L211:L212"/>
    <mergeCell ref="G57:N57"/>
    <mergeCell ref="G51:H51"/>
    <mergeCell ref="W209:W210"/>
    <mergeCell ref="U210:V210"/>
    <mergeCell ref="D188:D189"/>
    <mergeCell ref="E188:E189"/>
    <mergeCell ref="F188:F189"/>
    <mergeCell ref="C57:D59"/>
    <mergeCell ref="E57:F59"/>
    <mergeCell ref="E60:F60"/>
    <mergeCell ref="E61:F61"/>
    <mergeCell ref="E62:F62"/>
    <mergeCell ref="E63:F63"/>
    <mergeCell ref="G60:H60"/>
    <mergeCell ref="U225:V225"/>
    <mergeCell ref="W225:W226"/>
    <mergeCell ref="U226:V226"/>
    <mergeCell ref="D225:D226"/>
    <mergeCell ref="E225:E226"/>
    <mergeCell ref="F225:F226"/>
    <mergeCell ref="K225:K226"/>
    <mergeCell ref="L225:L226"/>
    <mergeCell ref="W217:W218"/>
    <mergeCell ref="U218:V218"/>
    <mergeCell ref="D223:D224"/>
    <mergeCell ref="E223:E224"/>
    <mergeCell ref="F223:F224"/>
    <mergeCell ref="K223:K224"/>
    <mergeCell ref="L223:L224"/>
    <mergeCell ref="D221:D222"/>
    <mergeCell ref="E221:E222"/>
    <mergeCell ref="F221:F222"/>
    <mergeCell ref="K221:K222"/>
    <mergeCell ref="L221:L222"/>
    <mergeCell ref="U219:V219"/>
    <mergeCell ref="D219:D220"/>
    <mergeCell ref="E219:E220"/>
    <mergeCell ref="F219:F220"/>
    <mergeCell ref="W199:W200"/>
    <mergeCell ref="U200:V200"/>
    <mergeCell ref="W207:W208"/>
    <mergeCell ref="U208:V208"/>
    <mergeCell ref="U201:V201"/>
    <mergeCell ref="W201:W202"/>
    <mergeCell ref="U202:V202"/>
    <mergeCell ref="U182:V182"/>
    <mergeCell ref="W182:W183"/>
    <mergeCell ref="U183:V183"/>
    <mergeCell ref="U184:V184"/>
    <mergeCell ref="W184:W185"/>
    <mergeCell ref="U185:V185"/>
    <mergeCell ref="U186:V186"/>
    <mergeCell ref="W186:W187"/>
    <mergeCell ref="U187:V187"/>
    <mergeCell ref="U196:V196"/>
    <mergeCell ref="U197:V197"/>
    <mergeCell ref="W197:W198"/>
    <mergeCell ref="U198:V198"/>
    <mergeCell ref="W203:W204"/>
    <mergeCell ref="U188:V188"/>
    <mergeCell ref="W195:W196"/>
    <mergeCell ref="U203:V203"/>
    <mergeCell ref="K219:K220"/>
    <mergeCell ref="L219:L220"/>
    <mergeCell ref="D215:D216"/>
    <mergeCell ref="E215:E216"/>
    <mergeCell ref="F215:F216"/>
    <mergeCell ref="K215:K216"/>
    <mergeCell ref="L215:L216"/>
    <mergeCell ref="D217:D218"/>
    <mergeCell ref="E217:E218"/>
    <mergeCell ref="F217:F218"/>
    <mergeCell ref="K217:K218"/>
    <mergeCell ref="L217:L218"/>
    <mergeCell ref="W174:W175"/>
    <mergeCell ref="U175:V175"/>
    <mergeCell ref="D176:D177"/>
    <mergeCell ref="E176:E177"/>
    <mergeCell ref="D174:D175"/>
    <mergeCell ref="E174:E175"/>
    <mergeCell ref="F174:F175"/>
    <mergeCell ref="K174:K175"/>
    <mergeCell ref="L174:L175"/>
    <mergeCell ref="W176:W177"/>
    <mergeCell ref="U177:V177"/>
    <mergeCell ref="M152:N189"/>
    <mergeCell ref="W178:W179"/>
    <mergeCell ref="U179:V179"/>
    <mergeCell ref="U178:V178"/>
    <mergeCell ref="U180:V180"/>
    <mergeCell ref="U168:V168"/>
    <mergeCell ref="U174:V174"/>
    <mergeCell ref="W170:W171"/>
    <mergeCell ref="U171:V171"/>
    <mergeCell ref="U172:V172"/>
    <mergeCell ref="W172:W173"/>
    <mergeCell ref="U173:V173"/>
    <mergeCell ref="D170:D171"/>
    <mergeCell ref="D143:F143"/>
    <mergeCell ref="G143:H143"/>
    <mergeCell ref="L162:L163"/>
    <mergeCell ref="S149:T151"/>
    <mergeCell ref="U152:V152"/>
    <mergeCell ref="U156:V156"/>
    <mergeCell ref="U157:V157"/>
    <mergeCell ref="U158:V158"/>
    <mergeCell ref="L152:L153"/>
    <mergeCell ref="F156:F157"/>
    <mergeCell ref="K156:K157"/>
    <mergeCell ref="L156:L157"/>
    <mergeCell ref="F158:F159"/>
    <mergeCell ref="U162:V162"/>
    <mergeCell ref="I148:J148"/>
    <mergeCell ref="V143:W143"/>
    <mergeCell ref="C150:C151"/>
    <mergeCell ref="G150:H150"/>
    <mergeCell ref="G151:H151"/>
    <mergeCell ref="M151:N151"/>
    <mergeCell ref="G149:J149"/>
    <mergeCell ref="K149:L151"/>
    <mergeCell ref="D150:F151"/>
    <mergeCell ref="O150:O151"/>
    <mergeCell ref="K158:K159"/>
    <mergeCell ref="K152:K153"/>
    <mergeCell ref="V131:W131"/>
    <mergeCell ref="V136:W136"/>
    <mergeCell ref="D137:F137"/>
    <mergeCell ref="G137:H137"/>
    <mergeCell ref="V137:W137"/>
    <mergeCell ref="D138:F138"/>
    <mergeCell ref="G138:H138"/>
    <mergeCell ref="V138:W138"/>
    <mergeCell ref="D139:F139"/>
    <mergeCell ref="G139:H139"/>
    <mergeCell ref="V139:W139"/>
    <mergeCell ref="D131:F131"/>
    <mergeCell ref="G131:H131"/>
    <mergeCell ref="D142:F142"/>
    <mergeCell ref="G142:H142"/>
    <mergeCell ref="V142:W142"/>
    <mergeCell ref="V132:W132"/>
    <mergeCell ref="D133:F133"/>
    <mergeCell ref="G133:H133"/>
    <mergeCell ref="V133:W133"/>
    <mergeCell ref="D134:F134"/>
    <mergeCell ref="G134:H134"/>
    <mergeCell ref="V134:W134"/>
    <mergeCell ref="D135:F135"/>
    <mergeCell ref="G135:H135"/>
    <mergeCell ref="V135:W135"/>
    <mergeCell ref="D140:F140"/>
    <mergeCell ref="G140:H140"/>
    <mergeCell ref="V140:W140"/>
    <mergeCell ref="D141:F141"/>
    <mergeCell ref="G141:H141"/>
    <mergeCell ref="V141:W141"/>
    <mergeCell ref="D132:F132"/>
    <mergeCell ref="G132:H132"/>
    <mergeCell ref="D136:F136"/>
    <mergeCell ref="G136:H136"/>
    <mergeCell ref="V126:W126"/>
    <mergeCell ref="D127:F127"/>
    <mergeCell ref="G127:H127"/>
    <mergeCell ref="V127:W127"/>
    <mergeCell ref="D129:F129"/>
    <mergeCell ref="G129:H129"/>
    <mergeCell ref="V129:W129"/>
    <mergeCell ref="D130:F130"/>
    <mergeCell ref="G130:H130"/>
    <mergeCell ref="V130:W130"/>
    <mergeCell ref="D128:F128"/>
    <mergeCell ref="G128:H128"/>
    <mergeCell ref="D126:F126"/>
    <mergeCell ref="G126:H126"/>
    <mergeCell ref="V121:W121"/>
    <mergeCell ref="D122:F122"/>
    <mergeCell ref="G122:H122"/>
    <mergeCell ref="V122:W122"/>
    <mergeCell ref="D123:F123"/>
    <mergeCell ref="G123:H123"/>
    <mergeCell ref="V123:W123"/>
    <mergeCell ref="D125:F125"/>
    <mergeCell ref="G125:H125"/>
    <mergeCell ref="V125:W125"/>
    <mergeCell ref="D121:F121"/>
    <mergeCell ref="G121:H121"/>
    <mergeCell ref="D116:F116"/>
    <mergeCell ref="D117:F117"/>
    <mergeCell ref="D120:F120"/>
    <mergeCell ref="G120:H120"/>
    <mergeCell ref="D124:F124"/>
    <mergeCell ref="G124:H124"/>
    <mergeCell ref="G116:H116"/>
    <mergeCell ref="G117:H117"/>
    <mergeCell ref="D118:F118"/>
    <mergeCell ref="D119:F119"/>
    <mergeCell ref="G118:H118"/>
    <mergeCell ref="E170:E171"/>
    <mergeCell ref="F170:F171"/>
    <mergeCell ref="K170:K171"/>
    <mergeCell ref="L170:L171"/>
    <mergeCell ref="D172:D173"/>
    <mergeCell ref="E172:E173"/>
    <mergeCell ref="F172:F173"/>
    <mergeCell ref="K172:K173"/>
    <mergeCell ref="L172:L173"/>
    <mergeCell ref="U170:V170"/>
    <mergeCell ref="U181:V181"/>
    <mergeCell ref="L197:L198"/>
    <mergeCell ref="D199:D200"/>
    <mergeCell ref="E199:E200"/>
    <mergeCell ref="F199:F200"/>
    <mergeCell ref="K199:K200"/>
    <mergeCell ref="L199:L200"/>
    <mergeCell ref="F195:F196"/>
    <mergeCell ref="K195:K196"/>
    <mergeCell ref="L195:L196"/>
    <mergeCell ref="E178:E179"/>
    <mergeCell ref="F178:F179"/>
    <mergeCell ref="K178:K179"/>
    <mergeCell ref="L178:L179"/>
    <mergeCell ref="F180:F181"/>
    <mergeCell ref="K180:K181"/>
    <mergeCell ref="L180:L181"/>
    <mergeCell ref="D182:D183"/>
    <mergeCell ref="E182:E183"/>
    <mergeCell ref="O192:R192"/>
    <mergeCell ref="F176:F177"/>
    <mergeCell ref="K176:K177"/>
    <mergeCell ref="L176:L177"/>
    <mergeCell ref="D178:D179"/>
    <mergeCell ref="W192:W194"/>
    <mergeCell ref="W180:W181"/>
    <mergeCell ref="D184:D185"/>
    <mergeCell ref="E184:E185"/>
    <mergeCell ref="F184:F185"/>
    <mergeCell ref="K184:K185"/>
    <mergeCell ref="L184:L185"/>
    <mergeCell ref="D186:D187"/>
    <mergeCell ref="E186:E187"/>
    <mergeCell ref="F186:F187"/>
    <mergeCell ref="K186:K187"/>
    <mergeCell ref="L186:L187"/>
    <mergeCell ref="D180:D181"/>
    <mergeCell ref="M192:N193"/>
    <mergeCell ref="S192:T194"/>
    <mergeCell ref="U192:V194"/>
    <mergeCell ref="G192:J192"/>
    <mergeCell ref="K192:L194"/>
    <mergeCell ref="E180:E181"/>
    <mergeCell ref="M194:N194"/>
    <mergeCell ref="O193:O194"/>
    <mergeCell ref="F79:G79"/>
    <mergeCell ref="H88:I88"/>
    <mergeCell ref="C95:K95"/>
    <mergeCell ref="V95:W96"/>
    <mergeCell ref="C96:C97"/>
    <mergeCell ref="G96:H97"/>
    <mergeCell ref="I96:I97"/>
    <mergeCell ref="K96:K97"/>
    <mergeCell ref="J96:J97"/>
    <mergeCell ref="V97:W97"/>
    <mergeCell ref="L95:R95"/>
    <mergeCell ref="D96:F97"/>
    <mergeCell ref="F85:G85"/>
    <mergeCell ref="H85:I85"/>
    <mergeCell ref="Q79:R79"/>
    <mergeCell ref="Q80:R80"/>
    <mergeCell ref="Q81:R81"/>
    <mergeCell ref="Q82:R82"/>
    <mergeCell ref="Q83:R83"/>
    <mergeCell ref="Q84:R84"/>
    <mergeCell ref="V107:W107"/>
    <mergeCell ref="G112:H112"/>
    <mergeCell ref="V115:W115"/>
    <mergeCell ref="D87:E87"/>
    <mergeCell ref="F87:G87"/>
    <mergeCell ref="D88:E88"/>
    <mergeCell ref="F88:G88"/>
    <mergeCell ref="D106:F106"/>
    <mergeCell ref="D112:F112"/>
    <mergeCell ref="V112:W112"/>
    <mergeCell ref="D113:F113"/>
    <mergeCell ref="D114:F114"/>
    <mergeCell ref="V105:W105"/>
    <mergeCell ref="D102:F102"/>
    <mergeCell ref="D103:F103"/>
    <mergeCell ref="D104:F104"/>
    <mergeCell ref="D105:F105"/>
    <mergeCell ref="G114:H114"/>
    <mergeCell ref="V114:W114"/>
    <mergeCell ref="D109:F109"/>
    <mergeCell ref="D110:F110"/>
    <mergeCell ref="D111:F111"/>
    <mergeCell ref="D115:F115"/>
    <mergeCell ref="V116:W116"/>
    <mergeCell ref="V117:W117"/>
    <mergeCell ref="G98:H98"/>
    <mergeCell ref="V98:W98"/>
    <mergeCell ref="G99:H99"/>
    <mergeCell ref="V99:W99"/>
    <mergeCell ref="G100:H100"/>
    <mergeCell ref="G115:H115"/>
    <mergeCell ref="D107:F107"/>
    <mergeCell ref="D108:F108"/>
    <mergeCell ref="V100:W100"/>
    <mergeCell ref="G101:H101"/>
    <mergeCell ref="V101:W101"/>
    <mergeCell ref="D98:F98"/>
    <mergeCell ref="D99:F99"/>
    <mergeCell ref="D100:F100"/>
    <mergeCell ref="D101:F101"/>
    <mergeCell ref="G102:H102"/>
    <mergeCell ref="V102:W102"/>
    <mergeCell ref="G103:H103"/>
    <mergeCell ref="V103:W103"/>
    <mergeCell ref="G104:H104"/>
    <mergeCell ref="V104:W104"/>
    <mergeCell ref="G105:H105"/>
    <mergeCell ref="D77:E77"/>
    <mergeCell ref="D78:E78"/>
    <mergeCell ref="D79:E79"/>
    <mergeCell ref="D86:E86"/>
    <mergeCell ref="F86:G86"/>
    <mergeCell ref="V108:W108"/>
    <mergeCell ref="V109:W109"/>
    <mergeCell ref="V110:W110"/>
    <mergeCell ref="V111:W111"/>
    <mergeCell ref="D80:E80"/>
    <mergeCell ref="F80:G80"/>
    <mergeCell ref="H80:I80"/>
    <mergeCell ref="D83:E83"/>
    <mergeCell ref="F83:G83"/>
    <mergeCell ref="H83:I83"/>
    <mergeCell ref="D84:E84"/>
    <mergeCell ref="D81:E81"/>
    <mergeCell ref="F81:G81"/>
    <mergeCell ref="H81:I81"/>
    <mergeCell ref="D82:E82"/>
    <mergeCell ref="F82:G82"/>
    <mergeCell ref="H82:I82"/>
    <mergeCell ref="Q77:R77"/>
    <mergeCell ref="Q78:R78"/>
    <mergeCell ref="E64:F64"/>
    <mergeCell ref="E65:F65"/>
    <mergeCell ref="J72:J74"/>
    <mergeCell ref="Q73:R74"/>
    <mergeCell ref="Q75:R75"/>
    <mergeCell ref="Q76:R76"/>
    <mergeCell ref="H73:I74"/>
    <mergeCell ref="M73:N74"/>
    <mergeCell ref="O73:P74"/>
    <mergeCell ref="G64:H64"/>
    <mergeCell ref="G65:H65"/>
    <mergeCell ref="C72:I72"/>
    <mergeCell ref="D73:G74"/>
    <mergeCell ref="H75:I75"/>
    <mergeCell ref="H76:I76"/>
    <mergeCell ref="D75:E75"/>
    <mergeCell ref="D76:E76"/>
    <mergeCell ref="W72:W74"/>
    <mergeCell ref="U73:V74"/>
    <mergeCell ref="W57:W59"/>
    <mergeCell ref="G58:H58"/>
    <mergeCell ref="G59:H59"/>
    <mergeCell ref="J58:J59"/>
    <mergeCell ref="L58:L59"/>
    <mergeCell ref="M58:N58"/>
    <mergeCell ref="R58:R59"/>
    <mergeCell ref="T58:T59"/>
    <mergeCell ref="U58:V58"/>
    <mergeCell ref="O57:V57"/>
    <mergeCell ref="O58:O59"/>
    <mergeCell ref="K72:N72"/>
    <mergeCell ref="O72:P72"/>
    <mergeCell ref="Q72:V72"/>
    <mergeCell ref="B1:J2"/>
    <mergeCell ref="C6:L6"/>
    <mergeCell ref="U6:U8"/>
    <mergeCell ref="C7:H7"/>
    <mergeCell ref="I7:J7"/>
    <mergeCell ref="K7:L7"/>
    <mergeCell ref="N7:P7"/>
    <mergeCell ref="Q7:R7"/>
    <mergeCell ref="S7:T7"/>
    <mergeCell ref="G8:H8"/>
    <mergeCell ref="I8:J8"/>
    <mergeCell ref="K8:L8"/>
    <mergeCell ref="Q8:R8"/>
    <mergeCell ref="S8:T8"/>
    <mergeCell ref="D8:F8"/>
    <mergeCell ref="M6:T6"/>
    <mergeCell ref="M7:M8"/>
    <mergeCell ref="G9:H9"/>
    <mergeCell ref="I9:J9"/>
    <mergeCell ref="K9:L9"/>
    <mergeCell ref="Q9:R9"/>
    <mergeCell ref="S9:T9"/>
    <mergeCell ref="C15:M15"/>
    <mergeCell ref="W15:W17"/>
    <mergeCell ref="C16:H16"/>
    <mergeCell ref="I16:I17"/>
    <mergeCell ref="J16:K16"/>
    <mergeCell ref="L16:M16"/>
    <mergeCell ref="O16:Q16"/>
    <mergeCell ref="R16:R17"/>
    <mergeCell ref="S16:T16"/>
    <mergeCell ref="D9:F9"/>
    <mergeCell ref="D10:F10"/>
    <mergeCell ref="G10:H10"/>
    <mergeCell ref="I10:J10"/>
    <mergeCell ref="K10:L10"/>
    <mergeCell ref="Q10:R10"/>
    <mergeCell ref="S10:T10"/>
    <mergeCell ref="D11:F11"/>
    <mergeCell ref="G11:H11"/>
    <mergeCell ref="U16:V16"/>
    <mergeCell ref="U20:V20"/>
    <mergeCell ref="W24:W26"/>
    <mergeCell ref="C25:H25"/>
    <mergeCell ref="I25:I26"/>
    <mergeCell ref="J25:K25"/>
    <mergeCell ref="L25:M25"/>
    <mergeCell ref="O25:Q25"/>
    <mergeCell ref="R25:R26"/>
    <mergeCell ref="S25:T25"/>
    <mergeCell ref="U25:V25"/>
    <mergeCell ref="G26:H26"/>
    <mergeCell ref="J26:K26"/>
    <mergeCell ref="L26:M26"/>
    <mergeCell ref="S26:T26"/>
    <mergeCell ref="U26:V26"/>
    <mergeCell ref="D26:F26"/>
    <mergeCell ref="D20:F20"/>
    <mergeCell ref="G20:H20"/>
    <mergeCell ref="J20:K20"/>
    <mergeCell ref="L20:M20"/>
    <mergeCell ref="S20:T20"/>
    <mergeCell ref="N24:V24"/>
    <mergeCell ref="N25:N26"/>
    <mergeCell ref="C24:M24"/>
    <mergeCell ref="L28:M28"/>
    <mergeCell ref="S28:T28"/>
    <mergeCell ref="U28:V28"/>
    <mergeCell ref="D27:F27"/>
    <mergeCell ref="D28:F28"/>
    <mergeCell ref="D36:F36"/>
    <mergeCell ref="C34:K34"/>
    <mergeCell ref="D29:F29"/>
    <mergeCell ref="G29:H29"/>
    <mergeCell ref="J29:K29"/>
    <mergeCell ref="L29:M29"/>
    <mergeCell ref="S29:T29"/>
    <mergeCell ref="U29:V29"/>
    <mergeCell ref="D30:F30"/>
    <mergeCell ref="G30:H30"/>
    <mergeCell ref="J30:K30"/>
    <mergeCell ref="L30:M30"/>
    <mergeCell ref="S30:T30"/>
    <mergeCell ref="U30:V30"/>
    <mergeCell ref="L34:T34"/>
    <mergeCell ref="L35:L36"/>
    <mergeCell ref="G27:H27"/>
    <mergeCell ref="J27:K27"/>
    <mergeCell ref="L27:M27"/>
    <mergeCell ref="G38:H38"/>
    <mergeCell ref="D39:F39"/>
    <mergeCell ref="G39:H39"/>
    <mergeCell ref="E46:F47"/>
    <mergeCell ref="E48:F48"/>
    <mergeCell ref="E49:F49"/>
    <mergeCell ref="M45:S45"/>
    <mergeCell ref="M48:N48"/>
    <mergeCell ref="M49:N49"/>
    <mergeCell ref="M46:N47"/>
    <mergeCell ref="G50:H50"/>
    <mergeCell ref="U50:V50"/>
    <mergeCell ref="U45:V47"/>
    <mergeCell ref="G46:H46"/>
    <mergeCell ref="K46:L47"/>
    <mergeCell ref="R46:S47"/>
    <mergeCell ref="G47:H47"/>
    <mergeCell ref="C50:D50"/>
    <mergeCell ref="E50:F50"/>
    <mergeCell ref="M50:N50"/>
    <mergeCell ref="U51:V51"/>
    <mergeCell ref="H77:I77"/>
    <mergeCell ref="H78:I78"/>
    <mergeCell ref="H79:I79"/>
    <mergeCell ref="H86:I86"/>
    <mergeCell ref="H87:I87"/>
    <mergeCell ref="C94:F94"/>
    <mergeCell ref="C73:C74"/>
    <mergeCell ref="F75:G75"/>
    <mergeCell ref="F76:G76"/>
    <mergeCell ref="F77:G77"/>
    <mergeCell ref="F78:G78"/>
    <mergeCell ref="U52:V52"/>
    <mergeCell ref="U53:V53"/>
    <mergeCell ref="C52:D52"/>
    <mergeCell ref="E52:F52"/>
    <mergeCell ref="G52:H52"/>
    <mergeCell ref="C53:D53"/>
    <mergeCell ref="E53:F53"/>
    <mergeCell ref="G53:H53"/>
    <mergeCell ref="G62:H62"/>
    <mergeCell ref="F84:G84"/>
    <mergeCell ref="H84:I84"/>
    <mergeCell ref="D85:E85"/>
    <mergeCell ref="V118:W118"/>
    <mergeCell ref="G119:H119"/>
    <mergeCell ref="V119:W119"/>
    <mergeCell ref="G106:H106"/>
    <mergeCell ref="V106:W106"/>
    <mergeCell ref="G113:H113"/>
    <mergeCell ref="V113:W113"/>
    <mergeCell ref="U207:V207"/>
    <mergeCell ref="D152:D153"/>
    <mergeCell ref="E152:E153"/>
    <mergeCell ref="D154:D155"/>
    <mergeCell ref="E154:E155"/>
    <mergeCell ref="W149:W151"/>
    <mergeCell ref="U149:V151"/>
    <mergeCell ref="W152:W153"/>
    <mergeCell ref="U153:V153"/>
    <mergeCell ref="F154:F155"/>
    <mergeCell ref="K154:K155"/>
    <mergeCell ref="L154:L155"/>
    <mergeCell ref="U154:V154"/>
    <mergeCell ref="W154:W155"/>
    <mergeCell ref="U155:V155"/>
    <mergeCell ref="W156:W157"/>
    <mergeCell ref="F152:F153"/>
    <mergeCell ref="F207:F208"/>
    <mergeCell ref="F162:F163"/>
    <mergeCell ref="K162:K163"/>
    <mergeCell ref="K207:K208"/>
    <mergeCell ref="L207:L208"/>
    <mergeCell ref="F203:F204"/>
    <mergeCell ref="K203:K204"/>
    <mergeCell ref="L203:L204"/>
    <mergeCell ref="F182:F183"/>
    <mergeCell ref="K182:K183"/>
    <mergeCell ref="L182:L183"/>
    <mergeCell ref="K188:K189"/>
    <mergeCell ref="L188:L189"/>
    <mergeCell ref="F197:F198"/>
    <mergeCell ref="K197:K198"/>
    <mergeCell ref="C191:G191"/>
    <mergeCell ref="D197:D198"/>
    <mergeCell ref="E197:E198"/>
    <mergeCell ref="C193:C194"/>
    <mergeCell ref="D193:F194"/>
    <mergeCell ref="G193:H193"/>
    <mergeCell ref="G194:H194"/>
    <mergeCell ref="L164:L165"/>
    <mergeCell ref="F166:F167"/>
    <mergeCell ref="L166:L167"/>
    <mergeCell ref="F168:F169"/>
    <mergeCell ref="K168:K169"/>
    <mergeCell ref="L168:L169"/>
    <mergeCell ref="W168:W169"/>
    <mergeCell ref="U169:V169"/>
    <mergeCell ref="W166:W167"/>
    <mergeCell ref="U165:V165"/>
    <mergeCell ref="U166:V166"/>
    <mergeCell ref="K164:K165"/>
    <mergeCell ref="U164:V164"/>
    <mergeCell ref="U176:V176"/>
    <mergeCell ref="U199:V199"/>
    <mergeCell ref="W158:W159"/>
    <mergeCell ref="U159:V159"/>
    <mergeCell ref="F205:F206"/>
    <mergeCell ref="K205:K206"/>
    <mergeCell ref="L205:L206"/>
    <mergeCell ref="U205:V205"/>
    <mergeCell ref="W205:W206"/>
    <mergeCell ref="U206:V206"/>
    <mergeCell ref="F160:F161"/>
    <mergeCell ref="K160:K161"/>
    <mergeCell ref="L160:L161"/>
    <mergeCell ref="U160:V160"/>
    <mergeCell ref="W160:W161"/>
    <mergeCell ref="U161:V161"/>
    <mergeCell ref="F201:F202"/>
    <mergeCell ref="K201:K202"/>
    <mergeCell ref="L201:L202"/>
    <mergeCell ref="W162:W163"/>
    <mergeCell ref="U163:V163"/>
    <mergeCell ref="W164:W165"/>
    <mergeCell ref="F164:F165"/>
    <mergeCell ref="K166:K167"/>
    <mergeCell ref="I11:J11"/>
    <mergeCell ref="K11:L11"/>
    <mergeCell ref="Q11:R11"/>
    <mergeCell ref="S11:T11"/>
    <mergeCell ref="D19:F19"/>
    <mergeCell ref="G19:H19"/>
    <mergeCell ref="J19:K19"/>
    <mergeCell ref="L19:M19"/>
    <mergeCell ref="S19:T19"/>
    <mergeCell ref="G18:H18"/>
    <mergeCell ref="J18:K18"/>
    <mergeCell ref="L18:M18"/>
    <mergeCell ref="S18:T18"/>
    <mergeCell ref="N15:V15"/>
    <mergeCell ref="N16:N17"/>
    <mergeCell ref="U18:V18"/>
    <mergeCell ref="G17:H17"/>
    <mergeCell ref="J17:K17"/>
    <mergeCell ref="L17:M17"/>
    <mergeCell ref="S17:T17"/>
    <mergeCell ref="U17:V17"/>
    <mergeCell ref="D17:F17"/>
    <mergeCell ref="D18:F18"/>
    <mergeCell ref="U19:V19"/>
    <mergeCell ref="D207:D208"/>
    <mergeCell ref="E207:E208"/>
    <mergeCell ref="D156:D157"/>
    <mergeCell ref="E156:E157"/>
    <mergeCell ref="D158:D159"/>
    <mergeCell ref="E158:E159"/>
    <mergeCell ref="D160:D161"/>
    <mergeCell ref="E160:E161"/>
    <mergeCell ref="D201:D202"/>
    <mergeCell ref="E201:E202"/>
    <mergeCell ref="D205:D206"/>
    <mergeCell ref="E205:E206"/>
    <mergeCell ref="D162:D163"/>
    <mergeCell ref="E162:E163"/>
    <mergeCell ref="D164:D165"/>
    <mergeCell ref="E164:E165"/>
    <mergeCell ref="D166:D167"/>
    <mergeCell ref="E166:E167"/>
    <mergeCell ref="D168:D169"/>
    <mergeCell ref="E168:E169"/>
    <mergeCell ref="D195:D196"/>
    <mergeCell ref="E195:E196"/>
    <mergeCell ref="D203:D204"/>
    <mergeCell ref="E203:E204"/>
    <mergeCell ref="J235:M235"/>
    <mergeCell ref="S235:S237"/>
    <mergeCell ref="L236:M237"/>
    <mergeCell ref="Q236:R237"/>
    <mergeCell ref="E238:F238"/>
    <mergeCell ref="G238:I239"/>
    <mergeCell ref="J238:J239"/>
    <mergeCell ref="K238:K239"/>
    <mergeCell ref="L238:M239"/>
    <mergeCell ref="O238:O239"/>
    <mergeCell ref="P238:P239"/>
    <mergeCell ref="Q238:R239"/>
    <mergeCell ref="S238:S239"/>
    <mergeCell ref="E239:F239"/>
    <mergeCell ref="N236:N237"/>
    <mergeCell ref="N238:N239"/>
    <mergeCell ref="N235:R235"/>
    <mergeCell ref="C235:F237"/>
    <mergeCell ref="G235:I237"/>
    <mergeCell ref="E240:F240"/>
    <mergeCell ref="G240:I241"/>
    <mergeCell ref="J240:J241"/>
    <mergeCell ref="K240:K241"/>
    <mergeCell ref="L240:M241"/>
    <mergeCell ref="O240:O241"/>
    <mergeCell ref="P240:P241"/>
    <mergeCell ref="Q240:R241"/>
    <mergeCell ref="S240:S241"/>
    <mergeCell ref="E241:F241"/>
    <mergeCell ref="N240:N241"/>
    <mergeCell ref="E242:F242"/>
    <mergeCell ref="G242:I243"/>
    <mergeCell ref="J242:J243"/>
    <mergeCell ref="K242:K243"/>
    <mergeCell ref="L242:M243"/>
    <mergeCell ref="O242:O243"/>
    <mergeCell ref="P242:P243"/>
    <mergeCell ref="Q242:R243"/>
    <mergeCell ref="S242:S243"/>
    <mergeCell ref="E243:F243"/>
    <mergeCell ref="N242:N243"/>
    <mergeCell ref="E244:F244"/>
    <mergeCell ref="G244:I245"/>
    <mergeCell ref="J244:J245"/>
    <mergeCell ref="K244:K245"/>
    <mergeCell ref="L244:M245"/>
    <mergeCell ref="O244:O245"/>
    <mergeCell ref="P244:P245"/>
    <mergeCell ref="Q244:R245"/>
    <mergeCell ref="S244:S245"/>
    <mergeCell ref="E245:F245"/>
    <mergeCell ref="N244:N245"/>
    <mergeCell ref="E246:F246"/>
    <mergeCell ref="G246:I247"/>
    <mergeCell ref="J246:J247"/>
    <mergeCell ref="K246:K247"/>
    <mergeCell ref="L246:M247"/>
    <mergeCell ref="O246:O247"/>
    <mergeCell ref="P246:P247"/>
    <mergeCell ref="Q246:R247"/>
    <mergeCell ref="S246:S247"/>
    <mergeCell ref="E247:F247"/>
    <mergeCell ref="N246:N247"/>
    <mergeCell ref="E248:F248"/>
    <mergeCell ref="G248:I249"/>
    <mergeCell ref="J248:J249"/>
    <mergeCell ref="K248:K249"/>
    <mergeCell ref="L248:M249"/>
    <mergeCell ref="O248:O249"/>
    <mergeCell ref="P248:P249"/>
    <mergeCell ref="Q248:R249"/>
    <mergeCell ref="S248:S249"/>
    <mergeCell ref="E249:F249"/>
    <mergeCell ref="N248:N249"/>
    <mergeCell ref="E250:F250"/>
    <mergeCell ref="G250:I251"/>
    <mergeCell ref="J250:J251"/>
    <mergeCell ref="K250:K251"/>
    <mergeCell ref="L250:M251"/>
    <mergeCell ref="O250:O251"/>
    <mergeCell ref="P250:P251"/>
    <mergeCell ref="Q250:R251"/>
    <mergeCell ref="S250:S251"/>
    <mergeCell ref="E251:F251"/>
    <mergeCell ref="N250:N251"/>
    <mergeCell ref="S252:S253"/>
    <mergeCell ref="E253:F253"/>
    <mergeCell ref="E254:F254"/>
    <mergeCell ref="G254:I255"/>
    <mergeCell ref="J254:J255"/>
    <mergeCell ref="K254:K255"/>
    <mergeCell ref="L254:M255"/>
    <mergeCell ref="N254:N255"/>
    <mergeCell ref="O254:O255"/>
    <mergeCell ref="P254:P255"/>
    <mergeCell ref="Q254:R255"/>
    <mergeCell ref="S254:S255"/>
    <mergeCell ref="E255:F255"/>
    <mergeCell ref="E252:F252"/>
    <mergeCell ref="G252:I253"/>
    <mergeCell ref="J252:J253"/>
    <mergeCell ref="K252:K253"/>
    <mergeCell ref="L252:M253"/>
    <mergeCell ref="N252:N253"/>
    <mergeCell ref="O252:O253"/>
    <mergeCell ref="P252:P253"/>
    <mergeCell ref="Q252:R253"/>
    <mergeCell ref="S256:S257"/>
    <mergeCell ref="E257:F257"/>
    <mergeCell ref="E258:F258"/>
    <mergeCell ref="G258:I259"/>
    <mergeCell ref="J258:J259"/>
    <mergeCell ref="K258:K259"/>
    <mergeCell ref="L258:M259"/>
    <mergeCell ref="N258:N259"/>
    <mergeCell ref="O258:O259"/>
    <mergeCell ref="P258:P259"/>
    <mergeCell ref="Q258:R259"/>
    <mergeCell ref="S258:S259"/>
    <mergeCell ref="E259:F259"/>
    <mergeCell ref="E256:F256"/>
    <mergeCell ref="G256:I257"/>
    <mergeCell ref="J256:J257"/>
    <mergeCell ref="K256:K257"/>
    <mergeCell ref="L256:M257"/>
    <mergeCell ref="N256:N257"/>
    <mergeCell ref="O256:O257"/>
    <mergeCell ref="P256:P257"/>
    <mergeCell ref="Q256:R257"/>
  </mergeCells>
  <phoneticPr fontId="1"/>
  <conditionalFormatting sqref="B236:M237 O236:T237 B231:T231 B232 D232:T232 B233:T235 B238:T251 B252:B253 T252:T253 C252:S259">
    <cfRule type="expression" dxfId="1" priority="2">
      <formula>$Y$234=1</formula>
    </cfRule>
  </conditionalFormatting>
  <conditionalFormatting sqref="B150:N151 P150:W151 B193:N194 P193:W194 B236:M237 O236:W237 B146:W147 B149:W149 B148 E148:W148 B192:W192 B191:C191 H191:W191 B232 D232:W232 B233:W235 B152:W190 B195:W231 B238:W251 B252:B255 T252:W255 C252:S259">
    <cfRule type="expression" dxfId="0" priority="1">
      <formula>$Y$236=3</formula>
    </cfRule>
  </conditionalFormatting>
  <dataValidations count="27">
    <dataValidation type="list" allowBlank="1" showInputMessage="1" showErrorMessage="1" sqref="I98:I143 G98:G143" xr:uid="{00000000-0002-0000-0600-000000000000}">
      <formula1>"　,重い,軽い"</formula1>
    </dataValidation>
    <dataValidation type="list" allowBlank="1" showInputMessage="1" showErrorMessage="1" sqref="N37:N39" xr:uid="{00000000-0002-0000-0600-000001000000}">
      <formula1>" 　,147,177,207"</formula1>
    </dataValidation>
    <dataValidation type="list" allowBlank="1" showInputMessage="1" showErrorMessage="1" sqref="S27:T30" xr:uid="{00000000-0002-0000-0600-000002000000}">
      <formula1>"　,985,1477.5,1970,2462.5"</formula1>
    </dataValidation>
    <dataValidation type="list" allowBlank="1" showInputMessage="1" showErrorMessage="1" sqref="P27:P30" xr:uid="{00000000-0002-0000-0600-000003000000}">
      <formula1>"　,117,147"</formula1>
    </dataValidation>
    <dataValidation type="list" allowBlank="1" showInputMessage="1" showErrorMessage="1" sqref="R27:R30 P37:P39" xr:uid="{00000000-0002-0000-0600-000004000000}">
      <formula1>"　,瓦,スレート,鋼板"</formula1>
    </dataValidation>
    <dataValidation type="list" allowBlank="1" showInputMessage="1" showErrorMessage="1" sqref="S18:T20 Q60:Q65 P48:P53" xr:uid="{00000000-0002-0000-0600-000005000000}">
      <formula1>"　,985,1477.5,1970"</formula1>
    </dataValidation>
    <dataValidation type="list" allowBlank="1" showInputMessage="1" showErrorMessage="1" sqref="Q18:Q20" xr:uid="{00000000-0002-0000-0600-000006000000}">
      <formula1>"　,杉,桧"</formula1>
    </dataValidation>
    <dataValidation type="list" allowBlank="1" showInputMessage="1" showErrorMessage="1" sqref="Q10:R11" xr:uid="{00000000-0002-0000-0600-000007000000}">
      <formula1>$AA$7:$AA$12</formula1>
    </dataValidation>
    <dataValidation type="list" allowBlank="1" showInputMessage="1" showErrorMessage="1" sqref="P9:P11" xr:uid="{00000000-0002-0000-0600-000008000000}">
      <formula1>"　 ,杉,桧"</formula1>
    </dataValidation>
    <dataValidation type="list" allowBlank="1" showInputMessage="1" showErrorMessage="1" sqref="O9:O11" xr:uid="{00000000-0002-0000-0600-000009000000}">
      <formula1>"　,42,57,87"</formula1>
    </dataValidation>
    <dataValidation type="list" allowBlank="1" showInputMessage="1" showErrorMessage="1" sqref="K98:K143" xr:uid="{00000000-0002-0000-0600-00000A000000}">
      <formula1>"　,有,無"</formula1>
    </dataValidation>
    <dataValidation type="list" allowBlank="1" showInputMessage="1" showErrorMessage="1" sqref="J98:J143" xr:uid="{00000000-0002-0000-0600-00000B000000}">
      <formula1>"　,平屋,1、2階,総2階"</formula1>
    </dataValidation>
    <dataValidation type="list" allowBlank="1" showInputMessage="1" showErrorMessage="1" sqref="J75:J88" xr:uid="{00000000-0002-0000-0600-00000C000000}">
      <formula1>"　,重い仕様,軽い仕様"</formula1>
    </dataValidation>
    <dataValidation type="list" allowBlank="1" showInputMessage="1" showErrorMessage="1" sqref="Q9:R9" xr:uid="{00000000-0002-0000-0600-00000D000000}">
      <formula1>"　, 303,328,492.5,985"</formula1>
    </dataValidation>
    <dataValidation type="list" allowBlank="1" showInputMessage="1" showErrorMessage="1" sqref="Q37:Q39" xr:uid="{00000000-0002-0000-0600-00000E000000}">
      <formula1>"　,1000,1200,1300,1600"</formula1>
    </dataValidation>
    <dataValidation type="list" allowBlank="1" showInputMessage="1" showErrorMessage="1" sqref="S60:S65 O48:O53" xr:uid="{00000000-0002-0000-0600-00000F000000}">
      <formula1>"　,1000,1300,1600"</formula1>
    </dataValidation>
    <dataValidation type="list" allowBlank="1" showInputMessage="1" showErrorMessage="1" sqref="R60:R65" xr:uid="{00000000-0002-0000-0600-000010000000}">
      <formula1>"　,端部,中間"</formula1>
    </dataValidation>
    <dataValidation type="list" allowBlank="1" showInputMessage="1" showErrorMessage="1" sqref="P60:P65" xr:uid="{00000000-0002-0000-0600-000011000000}">
      <formula1>"　,1970,2955,3940"</formula1>
    </dataValidation>
    <dataValidation type="list" allowBlank="1" showInputMessage="1" showErrorMessage="1" sqref="N9:N11" xr:uid="{00000000-0002-0000-0600-000012000000}">
      <formula1>"　,42"</formula1>
    </dataValidation>
    <dataValidation type="list" allowBlank="1" showInputMessage="1" showErrorMessage="1" sqref="Q48:Q53" xr:uid="{00000000-0002-0000-0600-000013000000}">
      <formula1>"　,328,394,492"</formula1>
    </dataValidation>
    <dataValidation type="list" allowBlank="1" showInputMessage="1" showErrorMessage="1" sqref="R48:R53" xr:uid="{00000000-0002-0000-0600-000014000000}">
      <formula1>"　,40,55,70,85"</formula1>
    </dataValidation>
    <dataValidation type="list" allowBlank="1" showInputMessage="1" showErrorMessage="1" sqref="S48:S53" xr:uid="{00000000-0002-0000-0600-000015000000}">
      <formula1>"　,85,100,115"</formula1>
    </dataValidation>
    <dataValidation type="list" allowBlank="1" showInputMessage="1" showErrorMessage="1" sqref="G238:I259" xr:uid="{00000000-0002-0000-0600-000016000000}">
      <formula1>"　,4辺固定,1辺ピン,2辺隣ピン,3辺ピン"</formula1>
    </dataValidation>
    <dataValidation type="list" allowBlank="1" showInputMessage="1" showErrorMessage="1" sqref="R18:R20 I18:I20" xr:uid="{00000000-0002-0000-0600-000017000000}">
      <formula1>"　,軽い壁,重い壁"</formula1>
    </dataValidation>
    <dataValidation type="list" allowBlank="1" showInputMessage="1" showErrorMessage="1" sqref="C48:D53" xr:uid="{00000000-0002-0000-0600-000018000000}">
      <formula1>"　,屋根平部,軒先部"</formula1>
    </dataValidation>
    <dataValidation type="list" allowBlank="1" showInputMessage="1" showErrorMessage="1" sqref="I91" xr:uid="{00000000-0002-0000-0600-000019000000}">
      <formula1>"　,布,ベタ,独立"</formula1>
    </dataValidation>
    <dataValidation type="list" allowBlank="1" showInputMessage="1" showErrorMessage="1" sqref="E48:F53 E60:F65" xr:uid="{00000000-0002-0000-0600-00001A000000}">
      <formula1>"　,重い屋根,軽い屋根"</formula1>
    </dataValidation>
  </dataValidations>
  <pageMargins left="0.25" right="0.25" top="0.75" bottom="0.75" header="0.3" footer="0.3"/>
  <pageSetup paperSize="9" fitToHeight="0" orientation="landscape" r:id="rId1"/>
  <rowBreaks count="5" manualBreakCount="5">
    <brk id="67" max="16383" man="1"/>
    <brk id="90" max="16383" man="1"/>
    <brk id="145" max="16383" man="1"/>
    <brk id="190" max="16383" man="1"/>
    <brk id="231" max="16383" man="1"/>
  </rowBreaks>
  <colBreaks count="1" manualBreakCount="1">
    <brk id="23" max="1048575" man="1"/>
  </colBreaks>
</worksheet>
</file>